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<sst xmlns="http://schemas.openxmlformats.org/spreadsheetml/2006/main" count="203" uniqueCount="175">
  <si>
    <t>Приложение  №11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</si>
  <si>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</si>
  <si>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</si>
  <si>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</si>
  <si>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</si>
  <si>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</si>
  <si>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</si>
  <si>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</si>
  <si>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</si>
  <si>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</si>
  <si>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</si>
  <si>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</si>
  <si>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</si>
  <si>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</si>
  <si>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</si>
  <si>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2021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</si>
  <si>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</si>
  <si>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</si>
  <si>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</si>
  <si>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</si>
  <si>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</si>
  <si>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</si>
  <si>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</si>
  <si>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</si>
  <si>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</si>
  <si>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</si>
  <si>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</si>
  <si>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</si>
  <si>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</si>
  <si>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</si>
  <si>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</si>
  <si>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</si>
  <si>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</si>
  <si>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</si>
  <si>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</si>
  <si>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</si>
  <si>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</si>
  <si>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</si>
  <si>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</si>
  <si>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</si>
  <si>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</si>
  <si>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</si>
  <si>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</si>
  <si>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</si>
  <si>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</si>
  <si>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</si>
  <si>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</si>
  <si>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</si>
  <si>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</si>
  <si>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</si>
  <si>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</si>
  <si>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</si>
  <si>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</si>
  <si>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</si>
  <si>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</si>
  <si>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</si>
  <si>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</si>
  <si>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</si>
  <si>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</si>
  <si>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</si>
  <si>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</si>
  <si>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</si>
  <si>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</si>
  <si>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</si>
  <si>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</si>
  <si>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</si>
  <si>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</si>
  <si>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</si>
  <si>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</si>
  <si>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</si>
  <si>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</si>
  <si>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</si>
  <si>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</si>
  <si>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</si>
  <si>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</si>
  <si>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</si>
  <si>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</si>
  <si>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</si>
  <si>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</si>
  <si>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</si>
  <si>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</si>
  <si>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</si>
  <si>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</si>
  <si>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</si>
  <si>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</si>
  <si>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</si>
  <si>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</si>
  <si>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</si>
  <si>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</si>
  <si>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</si>
  <si>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</si>
  <si>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</si>
  <si>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</si>
  <si>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</si>
  <si>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</si>
  <si>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</si>
  <si>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</si>
  <si>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</si>
  <si>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</si>
  <si>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</si>
  <si>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</si>
  <si>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</si>
  <si>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</si>
  <si>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</si>
  <si>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</si>
  <si>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</si>
  <si>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</si>
  <si>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</si>
  <si>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</si>
  <si>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</si>
  <si>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</si>
  <si>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</si>
  <si>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</si>
  <si>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</si>
  <si>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</si>
  <si>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</si>
  <si>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</si>
  <si>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</si>
  <si>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</si>
  <si>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</si>
  <si>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</si>
  <si>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</si>
  <si>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</si>
  <si>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</si>
  <si>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</si>
  <si>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</si>
  <si>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</si>
  <si>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</si>
  <si>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</si>
  <si>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</si>
  <si>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</si>
  <si>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</si>
  <si>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</si>
  <si>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</si>
  <si>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</si>
  <si>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</si>
  <si>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</si>
  <si>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</si>
  <si>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</si>
  <si>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</si>
  <si>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</si>
  <si>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</si>
  <si>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</si>
  <si>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</si>
  <si>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</si>
  <si>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</si>
  <si>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</si>
  <si>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</si>
  <si>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</si>
  <si>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</si>
  <si>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</si>
  <si>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</si>
  <si>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</si>
  <si>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</si>
  <si>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</si>
  <si>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</si>
  <si>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</si>
  <si>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</si>
  <si>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</si>
  <si>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</si>
  <si>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</si>
  <si>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</si>
  <si>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</si>
  <si>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</si>
  <si>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</si>
  <si>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Другие вопросы в области охраны окружающей среды</t>
  </si>
  <si>
    <t>Другие вопросы в области жилищно-коммунального хозяйства</t>
  </si>
  <si>
    <t>0808</t>
  </si>
  <si>
    <t>Другие вопросы в области культуры, кинемотографии</t>
  </si>
  <si>
    <t>к постановлению администрации</t>
  </si>
  <si>
    <t>от 30.04.2021года № 154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</si>
  <si>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1 квартал 2021 года </t>
  </si>
  <si>
    <t>Исполнено за 1 квартал 2021 года (тыс. руб.)</t>
  </si>
  <si>
    <t>% исполнения</t>
  </si>
  <si>
    <t>Приложение 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</si>
</sst>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" fontId="7" fillId="34" borderId="13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2" fontId="7" fillId="33" borderId="18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2" fontId="5" fillId="34" borderId="22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1" fillId="35" borderId="25" xfId="0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 wrapText="1"/>
    </xf>
    <xf numFmtId="164" fontId="9" fillId="0" borderId="18" xfId="0" applyNumberFormat="1" applyFont="1" applyBorder="1" applyAlignment="1">
      <alignment horizontal="center" wrapText="1"/>
    </xf>
    <xf numFmtId="0" fontId="12" fillId="0" borderId="26" xfId="0" applyFont="1" applyBorder="1" applyAlignment="1">
      <alignment/>
    </xf>
    <xf numFmtId="0" fontId="12" fillId="0" borderId="21" xfId="0" applyFont="1" applyFill="1" applyBorder="1" applyAlignment="1">
      <alignment horizontal="center" wrapText="1"/>
    </xf>
    <xf numFmtId="164" fontId="9" fillId="0" borderId="22" xfId="0" applyNumberFormat="1" applyFont="1" applyBorder="1" applyAlignment="1">
      <alignment horizontal="center" wrapText="1"/>
    </xf>
    <xf numFmtId="164" fontId="3" fillId="0" borderId="20" xfId="0" applyNumberFormat="1" applyFont="1" applyFill="1" applyBorder="1" applyAlignment="1">
      <alignment wrapText="1"/>
    </xf>
    <xf numFmtId="164" fontId="2" fillId="0" borderId="21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Fill="1" applyBorder="1" applyAlignment="1">
      <alignment/>
    </xf>
    <xf numFmtId="164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45.12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375" style="1" customWidth="1"/>
    <col min="16" max="17" width="0" style="1" hidden="1" customWidth="1"/>
    <col min="18" max="18" width="11.75390625" style="1" customWidth="1"/>
    <col min="19" max="19" width="14.25390625" style="1" customWidth="1"/>
    <col min="20" max="20" width="15.125" style="1" customWidth="1"/>
    <col min="21" max="21" width="0" style="2" hidden="1" customWidth="1"/>
    <col min="22" max="22" width="0" style="0" hidden="1" customWidth="1"/>
    <col min="23" max="23" width="0" style="3" hidden="1" customWidth="1"/>
    <col min="24" max="24" width="0" style="2" hidden="1" customWidth="1"/>
    <col min="25" max="25" width="0" style="0" hidden="1" customWidth="1"/>
    <col min="26" max="26" width="3.375" style="0" customWidth="1"/>
    <col min="27" max="27" width="11.00390625" style="0" customWidth="1"/>
  </cols>
  <sheetData>
    <row r="1" spans="1:23" ht="12.75">
      <c r="A1" s="2"/>
      <c r="B1" s="91" t="s">
        <v>174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4" t="s">
        <v>0</v>
      </c>
      <c r="V1" s="4" t="s">
        <v>0</v>
      </c>
      <c r="W1" s="5"/>
    </row>
    <row r="2" spans="1:23" ht="12.75">
      <c r="A2" s="2"/>
      <c r="B2" s="92" t="s">
        <v>169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4" t="s">
        <v>1</v>
      </c>
      <c r="V2" s="4" t="s">
        <v>1</v>
      </c>
      <c r="W2" s="5"/>
    </row>
    <row r="3" spans="1:23" ht="12.75">
      <c r="A3" s="2"/>
      <c r="B3" s="92" t="s">
        <v>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4" t="s">
        <v>3</v>
      </c>
      <c r="V3" s="4" t="s">
        <v>3</v>
      </c>
      <c r="W3" s="5"/>
    </row>
    <row r="4" spans="1:23" ht="15" customHeight="1">
      <c r="A4" s="2"/>
      <c r="B4" s="92" t="s">
        <v>170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4" t="s">
        <v>4</v>
      </c>
      <c r="V4" s="4" t="s">
        <v>4</v>
      </c>
      <c r="W4" s="5"/>
    </row>
    <row r="5" spans="1:23" ht="1.5" customHeight="1" hidden="1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6"/>
      <c r="V5" s="6"/>
      <c r="W5" s="5"/>
    </row>
    <row r="6" spans="1:23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3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4" ht="52.5" customHeight="1" thickBot="1">
      <c r="A8" s="94" t="s">
        <v>171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 hidden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5" ht="15.75" customHeight="1" thickBot="1">
      <c r="A10" s="90" t="s">
        <v>5</v>
      </c>
      <c r="B10" s="84" t="s">
        <v>6</v>
      </c>
      <c r="C10" s="84" t="s">
        <v>7</v>
      </c>
      <c r="D10" s="84"/>
      <c r="E10" s="84"/>
      <c r="F10" s="84" t="s">
        <v>8</v>
      </c>
      <c r="G10" s="84" t="s">
        <v>9</v>
      </c>
      <c r="H10" s="84"/>
      <c r="I10" s="84"/>
      <c r="J10" s="84" t="s">
        <v>10</v>
      </c>
      <c r="K10" s="84" t="s">
        <v>11</v>
      </c>
      <c r="L10" s="84" t="s">
        <v>9</v>
      </c>
      <c r="M10" s="84"/>
      <c r="N10" s="84"/>
      <c r="O10" s="84" t="s">
        <v>12</v>
      </c>
      <c r="P10" s="85" t="s">
        <v>13</v>
      </c>
      <c r="Q10" s="84" t="s">
        <v>14</v>
      </c>
      <c r="R10" s="85" t="s">
        <v>15</v>
      </c>
      <c r="S10" s="95" t="s">
        <v>172</v>
      </c>
      <c r="T10" s="85" t="s">
        <v>173</v>
      </c>
      <c r="U10" s="86" t="s">
        <v>16</v>
      </c>
      <c r="V10" s="87" t="s">
        <v>17</v>
      </c>
      <c r="W10" s="88" t="s">
        <v>18</v>
      </c>
      <c r="X10" s="81" t="s">
        <v>19</v>
      </c>
      <c r="Y10" s="82" t="s">
        <v>20</v>
      </c>
    </row>
    <row r="11" spans="1:25" ht="15.75" customHeight="1" thickBot="1">
      <c r="A11" s="90"/>
      <c r="B11" s="84"/>
      <c r="C11" s="84"/>
      <c r="D11" s="84"/>
      <c r="E11" s="84"/>
      <c r="F11" s="84"/>
      <c r="G11" s="83" t="s">
        <v>21</v>
      </c>
      <c r="H11" s="83" t="s">
        <v>22</v>
      </c>
      <c r="I11" s="83" t="s">
        <v>23</v>
      </c>
      <c r="J11" s="84"/>
      <c r="K11" s="84"/>
      <c r="L11" s="83" t="s">
        <v>24</v>
      </c>
      <c r="M11" s="83" t="s">
        <v>22</v>
      </c>
      <c r="N11" s="83" t="s">
        <v>23</v>
      </c>
      <c r="O11" s="84"/>
      <c r="P11" s="85"/>
      <c r="Q11" s="84"/>
      <c r="R11" s="85"/>
      <c r="S11" s="96"/>
      <c r="T11" s="85"/>
      <c r="U11" s="86"/>
      <c r="V11" s="87"/>
      <c r="W11" s="88"/>
      <c r="X11" s="81"/>
      <c r="Y11" s="82"/>
    </row>
    <row r="12" spans="1:25" ht="33" customHeight="1">
      <c r="A12" s="90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84"/>
      <c r="R12" s="85"/>
      <c r="S12" s="97"/>
      <c r="T12" s="85"/>
      <c r="U12" s="86"/>
      <c r="V12" s="87"/>
      <c r="W12" s="88"/>
      <c r="X12" s="81"/>
      <c r="Y12" s="82"/>
    </row>
    <row r="13" spans="1:26" ht="15.75" customHeight="1">
      <c r="A13" s="9" t="s">
        <v>25</v>
      </c>
      <c r="B13" s="10" t="s">
        <v>26</v>
      </c>
      <c r="C13" s="11">
        <f>SUM(C15:C21)</f>
        <v>75792</v>
      </c>
      <c r="D13" s="11">
        <f>SUM(D15:D21)</f>
        <v>-4889</v>
      </c>
      <c r="E13" s="11">
        <f aca="true" t="shared" si="0" ref="E13:N13">SUM(E14:E21)</f>
        <v>72440.56</v>
      </c>
      <c r="F13" s="11">
        <f t="shared" si="0"/>
        <v>81988.9</v>
      </c>
      <c r="G13" s="11">
        <f t="shared" si="0"/>
        <v>68971.9</v>
      </c>
      <c r="H13" s="11">
        <f t="shared" si="0"/>
        <v>11022</v>
      </c>
      <c r="I13" s="11">
        <f t="shared" si="0"/>
        <v>1995</v>
      </c>
      <c r="J13" s="12">
        <f t="shared" si="0"/>
        <v>76926.7</v>
      </c>
      <c r="K13" s="11">
        <f t="shared" si="0"/>
        <v>85299.4</v>
      </c>
      <c r="L13" s="11">
        <f t="shared" si="0"/>
        <v>71345</v>
      </c>
      <c r="M13" s="11">
        <f t="shared" si="0"/>
        <v>13874.400000000001</v>
      </c>
      <c r="N13" s="11">
        <f t="shared" si="0"/>
        <v>80</v>
      </c>
      <c r="O13" s="10"/>
      <c r="P13" s="13">
        <v>6490.7</v>
      </c>
      <c r="Q13" s="14" t="s">
        <v>27</v>
      </c>
      <c r="R13" s="15">
        <f>R15+R19+R20+R21</f>
        <v>13063.83</v>
      </c>
      <c r="S13" s="98">
        <f>S15+S19+S20+S21</f>
        <v>2469.81</v>
      </c>
      <c r="T13" s="17">
        <f>S13/R13*100</f>
        <v>18.905711418473757</v>
      </c>
      <c r="U13" s="16">
        <f>J13/G13*100</f>
        <v>111.5333925845163</v>
      </c>
      <c r="V13" s="17">
        <f>L13/G13*100</f>
        <v>103.4406765653839</v>
      </c>
      <c r="W13" s="18" t="e">
        <f>L13/L94*100</f>
        <v>#REF!</v>
      </c>
      <c r="X13" s="12">
        <f>SUM(X14:X21)</f>
        <v>33597.1</v>
      </c>
      <c r="Y13" s="19">
        <f>L13/X13*100</f>
        <v>212.35463775147258</v>
      </c>
      <c r="Z13" s="20"/>
    </row>
    <row r="14" spans="1:25" ht="0" customHeight="1" hidden="1">
      <c r="A14" s="21" t="s">
        <v>28</v>
      </c>
      <c r="B14" s="22"/>
      <c r="C14" s="11"/>
      <c r="D14" s="11"/>
      <c r="E14" s="23">
        <v>757</v>
      </c>
      <c r="F14" s="23">
        <f>G14+H14+I14</f>
        <v>757</v>
      </c>
      <c r="G14" s="23">
        <v>757</v>
      </c>
      <c r="H14" s="23"/>
      <c r="I14" s="23"/>
      <c r="J14" s="23">
        <v>933</v>
      </c>
      <c r="K14" s="24">
        <f aca="true" t="shared" si="1" ref="K14:K83">L14+M14+N14</f>
        <v>833</v>
      </c>
      <c r="L14" s="23">
        <v>833</v>
      </c>
      <c r="M14" s="23"/>
      <c r="N14" s="23"/>
      <c r="O14" s="22" t="s">
        <v>29</v>
      </c>
      <c r="P14" s="25">
        <v>563.7</v>
      </c>
      <c r="Q14" s="26"/>
      <c r="R14" s="27"/>
      <c r="S14" s="99"/>
      <c r="T14" s="17" t="e">
        <f aca="true" t="shared" si="2" ref="T14:T77">S14/R14*100</f>
        <v>#DIV/0!</v>
      </c>
      <c r="U14" s="16">
        <f>J14/G14*100</f>
        <v>123.24966974900924</v>
      </c>
      <c r="V14" s="17">
        <f>L14/G14*100</f>
        <v>110.03963011889036</v>
      </c>
      <c r="W14" s="18"/>
      <c r="X14" s="24">
        <v>466.6</v>
      </c>
      <c r="Y14" s="19">
        <f>L14/X14*100</f>
        <v>178.52550364337762</v>
      </c>
    </row>
    <row r="15" spans="1:25" ht="16.5" customHeight="1">
      <c r="A15" s="28" t="s">
        <v>30</v>
      </c>
      <c r="B15" s="22"/>
      <c r="C15" s="24">
        <v>45198</v>
      </c>
      <c r="D15" s="24">
        <f>-834-3694</f>
        <v>-4528</v>
      </c>
      <c r="E15" s="23">
        <v>39830</v>
      </c>
      <c r="F15" s="23">
        <f aca="true" t="shared" si="3" ref="F15:F77">G15+H15+I15</f>
        <v>47382.1</v>
      </c>
      <c r="G15" s="23">
        <f>42752.1+2800</f>
        <v>45552.1</v>
      </c>
      <c r="H15" s="23"/>
      <c r="I15" s="23">
        <v>1830</v>
      </c>
      <c r="J15" s="23">
        <f>1166+45418</f>
        <v>46584</v>
      </c>
      <c r="K15" s="24">
        <f t="shared" si="1"/>
        <v>45100</v>
      </c>
      <c r="L15" s="23">
        <v>45100</v>
      </c>
      <c r="M15" s="23"/>
      <c r="N15" s="23"/>
      <c r="O15" s="22" t="s">
        <v>31</v>
      </c>
      <c r="P15" s="25">
        <v>5366</v>
      </c>
      <c r="Q15" s="26" t="s">
        <v>32</v>
      </c>
      <c r="R15" s="29">
        <v>12274.82</v>
      </c>
      <c r="S15" s="99">
        <v>2340.56</v>
      </c>
      <c r="T15" s="102">
        <f t="shared" si="2"/>
        <v>19.067978186238168</v>
      </c>
      <c r="U15" s="16">
        <f>J15/G15*100</f>
        <v>102.26531817413466</v>
      </c>
      <c r="V15" s="17">
        <f>L15/G15*100</f>
        <v>99.00751008186232</v>
      </c>
      <c r="W15" s="30"/>
      <c r="X15" s="24">
        <v>26630.9</v>
      </c>
      <c r="Y15" s="19">
        <f>L15/X15*100</f>
        <v>169.35214356255327</v>
      </c>
    </row>
    <row r="16" spans="1:25" ht="12.75" customHeight="1" hidden="1">
      <c r="A16" s="28" t="s">
        <v>33</v>
      </c>
      <c r="B16" s="22"/>
      <c r="C16" s="24"/>
      <c r="D16" s="24"/>
      <c r="E16" s="23">
        <v>186</v>
      </c>
      <c r="F16" s="23">
        <f t="shared" si="3"/>
        <v>186</v>
      </c>
      <c r="G16" s="23"/>
      <c r="H16" s="23">
        <v>186</v>
      </c>
      <c r="I16" s="23"/>
      <c r="J16" s="23"/>
      <c r="K16" s="24">
        <f t="shared" si="1"/>
        <v>361.1</v>
      </c>
      <c r="L16" s="23"/>
      <c r="M16" s="23">
        <v>361.1</v>
      </c>
      <c r="N16" s="23"/>
      <c r="O16" s="22" t="s">
        <v>34</v>
      </c>
      <c r="P16" s="25"/>
      <c r="Q16" s="26"/>
      <c r="R16" s="27"/>
      <c r="S16" s="99"/>
      <c r="T16" s="102" t="e">
        <f t="shared" si="2"/>
        <v>#DIV/0!</v>
      </c>
      <c r="U16" s="16"/>
      <c r="V16" s="17"/>
      <c r="W16" s="30"/>
      <c r="X16" s="24" t="s">
        <v>35</v>
      </c>
      <c r="Y16" s="19"/>
    </row>
    <row r="17" spans="1:25" ht="0" customHeight="1" hidden="1">
      <c r="A17" s="28" t="s">
        <v>36</v>
      </c>
      <c r="B17" s="22"/>
      <c r="C17" s="24">
        <v>9219</v>
      </c>
      <c r="D17" s="24">
        <v>-160</v>
      </c>
      <c r="E17" s="23">
        <v>7953</v>
      </c>
      <c r="F17" s="23">
        <f t="shared" si="3"/>
        <v>11596.7</v>
      </c>
      <c r="G17" s="23">
        <v>9353</v>
      </c>
      <c r="H17" s="23">
        <v>2243.7</v>
      </c>
      <c r="I17" s="23"/>
      <c r="J17" s="23">
        <f>964+1900.4+9889.6</f>
        <v>12754</v>
      </c>
      <c r="K17" s="24">
        <f t="shared" si="1"/>
        <v>11449.6</v>
      </c>
      <c r="L17" s="23">
        <f>1631+8350</f>
        <v>9981</v>
      </c>
      <c r="M17" s="23">
        <v>1468.6</v>
      </c>
      <c r="N17" s="23"/>
      <c r="O17" s="22" t="s">
        <v>37</v>
      </c>
      <c r="P17" s="25"/>
      <c r="Q17" s="26"/>
      <c r="R17" s="27"/>
      <c r="S17" s="99"/>
      <c r="T17" s="102" t="e">
        <f t="shared" si="2"/>
        <v>#DIV/0!</v>
      </c>
      <c r="U17" s="16">
        <f>J17/G17*100</f>
        <v>136.36266438575856</v>
      </c>
      <c r="V17" s="17">
        <f>L17/G17*100</f>
        <v>106.71442317972844</v>
      </c>
      <c r="W17" s="30"/>
      <c r="X17" s="24">
        <v>6499.6</v>
      </c>
      <c r="Y17" s="19">
        <f>L17/X17*100</f>
        <v>153.56329620284325</v>
      </c>
    </row>
    <row r="18" spans="1:25" ht="15.75" customHeight="1" hidden="1">
      <c r="A18" s="28" t="s">
        <v>38</v>
      </c>
      <c r="B18" s="22"/>
      <c r="C18" s="24"/>
      <c r="D18" s="24"/>
      <c r="E18" s="23"/>
      <c r="F18" s="23">
        <f t="shared" si="3"/>
        <v>1740</v>
      </c>
      <c r="G18" s="23">
        <f>500+1240</f>
        <v>1740</v>
      </c>
      <c r="H18" s="23"/>
      <c r="I18" s="23"/>
      <c r="J18" s="23"/>
      <c r="K18" s="24">
        <f t="shared" si="1"/>
        <v>0</v>
      </c>
      <c r="L18" s="23"/>
      <c r="M18" s="23"/>
      <c r="N18" s="23"/>
      <c r="O18" s="22" t="s">
        <v>39</v>
      </c>
      <c r="P18" s="25"/>
      <c r="Q18" s="26"/>
      <c r="R18" s="27"/>
      <c r="S18" s="99"/>
      <c r="T18" s="102" t="e">
        <f t="shared" si="2"/>
        <v>#DIV/0!</v>
      </c>
      <c r="U18" s="16">
        <f>J18/G18*100</f>
        <v>0</v>
      </c>
      <c r="V18" s="17">
        <f>L18/G18*100</f>
        <v>0</v>
      </c>
      <c r="W18" s="30"/>
      <c r="X18" s="24"/>
      <c r="Y18" s="19"/>
    </row>
    <row r="19" spans="1:25" ht="63.75" customHeight="1">
      <c r="A19" s="28" t="s">
        <v>40</v>
      </c>
      <c r="B19" s="22"/>
      <c r="C19" s="24"/>
      <c r="D19" s="24"/>
      <c r="E19" s="23"/>
      <c r="F19" s="23"/>
      <c r="G19" s="23"/>
      <c r="H19" s="23"/>
      <c r="I19" s="23"/>
      <c r="J19" s="23"/>
      <c r="K19" s="24"/>
      <c r="L19" s="23"/>
      <c r="M19" s="23"/>
      <c r="N19" s="23"/>
      <c r="O19" s="22" t="s">
        <v>37</v>
      </c>
      <c r="P19" s="25"/>
      <c r="Q19" s="26"/>
      <c r="R19" s="31">
        <v>265.01</v>
      </c>
      <c r="S19" s="99">
        <v>66.25</v>
      </c>
      <c r="T19" s="102">
        <f t="shared" si="2"/>
        <v>24.9990566393721</v>
      </c>
      <c r="U19" s="16"/>
      <c r="V19" s="17"/>
      <c r="W19" s="30"/>
      <c r="X19" s="24"/>
      <c r="Y19" s="19"/>
    </row>
    <row r="20" spans="1:25" ht="16.5" customHeight="1">
      <c r="A20" s="28" t="s">
        <v>41</v>
      </c>
      <c r="B20" s="22"/>
      <c r="C20" s="24"/>
      <c r="D20" s="24"/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2" t="s">
        <v>42</v>
      </c>
      <c r="P20" s="25"/>
      <c r="Q20" s="26"/>
      <c r="R20" s="31">
        <v>50</v>
      </c>
      <c r="S20" s="99">
        <v>0</v>
      </c>
      <c r="T20" s="102">
        <f t="shared" si="2"/>
        <v>0</v>
      </c>
      <c r="U20" s="16"/>
      <c r="V20" s="17"/>
      <c r="W20" s="30"/>
      <c r="X20" s="24"/>
      <c r="Y20" s="19"/>
    </row>
    <row r="21" spans="1:25" ht="16.5" customHeight="1">
      <c r="A21" s="28" t="s">
        <v>43</v>
      </c>
      <c r="B21" s="22"/>
      <c r="C21" s="24">
        <v>21375</v>
      </c>
      <c r="D21" s="24">
        <f>160+834-4889+3694</f>
        <v>-201</v>
      </c>
      <c r="E21" s="23">
        <f>SUM(E22:E32)</f>
        <v>23714.559999999998</v>
      </c>
      <c r="F21" s="23">
        <f>G21+H21+I21</f>
        <v>20327.1</v>
      </c>
      <c r="G21" s="23">
        <f>SUM(G22:G32)</f>
        <v>11569.8</v>
      </c>
      <c r="H21" s="23">
        <f>SUM(H22:H32)</f>
        <v>8592.3</v>
      </c>
      <c r="I21" s="23">
        <f>SUM(I22:I32)</f>
        <v>165</v>
      </c>
      <c r="J21" s="23">
        <f>SUM(J22:J32)</f>
        <v>16655.7</v>
      </c>
      <c r="K21" s="24">
        <f>L21+M21+N21</f>
        <v>27555.7</v>
      </c>
      <c r="L21" s="23">
        <f>SUM(L22:L32)</f>
        <v>15431</v>
      </c>
      <c r="M21" s="23">
        <f>SUM(M22:M32)</f>
        <v>12044.7</v>
      </c>
      <c r="N21" s="23">
        <f>SUM(N22:N32)</f>
        <v>80</v>
      </c>
      <c r="O21" s="22" t="s">
        <v>44</v>
      </c>
      <c r="P21" s="25">
        <v>511</v>
      </c>
      <c r="Q21" s="26" t="s">
        <v>45</v>
      </c>
      <c r="R21" s="31">
        <v>474</v>
      </c>
      <c r="S21" s="99">
        <v>63</v>
      </c>
      <c r="T21" s="102">
        <f t="shared" si="2"/>
        <v>13.291139240506327</v>
      </c>
      <c r="U21" s="16"/>
      <c r="V21" s="17"/>
      <c r="W21" s="30"/>
      <c r="X21" s="24"/>
      <c r="Y21" s="19"/>
    </row>
    <row r="22" spans="1:25" ht="18.75" customHeight="1" hidden="1">
      <c r="A22" s="9" t="s">
        <v>46</v>
      </c>
      <c r="B22" s="10" t="s">
        <v>47</v>
      </c>
      <c r="C22" s="11"/>
      <c r="D22" s="11"/>
      <c r="E22" s="12">
        <v>5369</v>
      </c>
      <c r="F22" s="12">
        <f t="shared" si="3"/>
        <v>3884</v>
      </c>
      <c r="G22" s="12">
        <v>3719</v>
      </c>
      <c r="H22" s="12"/>
      <c r="I22" s="12">
        <v>165</v>
      </c>
      <c r="J22" s="12">
        <v>4643.7</v>
      </c>
      <c r="K22" s="11">
        <f t="shared" si="1"/>
        <v>4158</v>
      </c>
      <c r="L22" s="12">
        <v>4078</v>
      </c>
      <c r="M22" s="12"/>
      <c r="N22" s="12">
        <v>80</v>
      </c>
      <c r="O22" s="10"/>
      <c r="P22" s="13"/>
      <c r="Q22" s="14" t="s">
        <v>48</v>
      </c>
      <c r="R22" s="32"/>
      <c r="S22" s="98"/>
      <c r="T22" s="17" t="e">
        <f t="shared" si="2"/>
        <v>#DIV/0!</v>
      </c>
      <c r="U22" s="16">
        <f>J22/G22*100</f>
        <v>124.86421080935735</v>
      </c>
      <c r="V22" s="17">
        <f>L22/G22*100</f>
        <v>109.6531325625168</v>
      </c>
      <c r="W22" s="30"/>
      <c r="X22" s="24">
        <v>2007.6</v>
      </c>
      <c r="Y22" s="19">
        <f aca="true" t="shared" si="4" ref="Y22:Y34">L22/X22*100</f>
        <v>203.1281131699542</v>
      </c>
    </row>
    <row r="23" spans="1:25" ht="12.75" customHeight="1" hidden="1">
      <c r="A23" s="28" t="s">
        <v>49</v>
      </c>
      <c r="B23" s="22"/>
      <c r="C23" s="24"/>
      <c r="D23" s="24"/>
      <c r="E23" s="23">
        <v>1500</v>
      </c>
      <c r="F23" s="23">
        <f t="shared" si="3"/>
        <v>1500</v>
      </c>
      <c r="G23" s="23">
        <v>1500</v>
      </c>
      <c r="H23" s="23"/>
      <c r="I23" s="23"/>
      <c r="J23" s="23">
        <v>2060</v>
      </c>
      <c r="K23" s="24">
        <f t="shared" si="1"/>
        <v>1500</v>
      </c>
      <c r="L23" s="23">
        <v>1500</v>
      </c>
      <c r="M23" s="23"/>
      <c r="N23" s="23"/>
      <c r="O23" s="22"/>
      <c r="P23" s="25"/>
      <c r="Q23" s="26"/>
      <c r="R23" s="27"/>
      <c r="S23" s="99"/>
      <c r="T23" s="17" t="e">
        <f t="shared" si="2"/>
        <v>#DIV/0!</v>
      </c>
      <c r="U23" s="16">
        <f>J23/G23*100</f>
        <v>137.33333333333334</v>
      </c>
      <c r="V23" s="17">
        <f>L23/G23*100</f>
        <v>100</v>
      </c>
      <c r="W23" s="30"/>
      <c r="X23" s="24">
        <v>357.4</v>
      </c>
      <c r="Y23" s="19">
        <f t="shared" si="4"/>
        <v>419.6978175713487</v>
      </c>
    </row>
    <row r="24" spans="1:25" ht="13.5" customHeight="1" hidden="1">
      <c r="A24" s="28" t="s">
        <v>50</v>
      </c>
      <c r="B24" s="22"/>
      <c r="C24" s="24"/>
      <c r="D24" s="24"/>
      <c r="E24" s="23">
        <v>176</v>
      </c>
      <c r="F24" s="23">
        <f t="shared" si="3"/>
        <v>176</v>
      </c>
      <c r="G24" s="23">
        <v>100</v>
      </c>
      <c r="H24" s="23">
        <v>76</v>
      </c>
      <c r="I24" s="23"/>
      <c r="J24" s="23"/>
      <c r="K24" s="24">
        <f t="shared" si="1"/>
        <v>83</v>
      </c>
      <c r="L24" s="23"/>
      <c r="M24" s="23">
        <v>83</v>
      </c>
      <c r="N24" s="23"/>
      <c r="O24" s="22"/>
      <c r="P24" s="25"/>
      <c r="Q24" s="26"/>
      <c r="R24" s="27"/>
      <c r="S24" s="99"/>
      <c r="T24" s="17" t="e">
        <f t="shared" si="2"/>
        <v>#DIV/0!</v>
      </c>
      <c r="U24" s="16">
        <f>J24/G24*100</f>
        <v>0</v>
      </c>
      <c r="V24" s="17">
        <f>L24/G24*100</f>
        <v>0</v>
      </c>
      <c r="W24" s="30"/>
      <c r="X24" s="24">
        <v>69</v>
      </c>
      <c r="Y24" s="19">
        <f t="shared" si="4"/>
        <v>0</v>
      </c>
    </row>
    <row r="25" spans="1:25" ht="12.75" customHeight="1" hidden="1">
      <c r="A25" s="28" t="s">
        <v>51</v>
      </c>
      <c r="B25" s="22"/>
      <c r="C25" s="24"/>
      <c r="D25" s="24"/>
      <c r="E25" s="24">
        <v>2024.76</v>
      </c>
      <c r="F25" s="23">
        <f t="shared" si="3"/>
        <v>2034.8</v>
      </c>
      <c r="G25" s="24"/>
      <c r="H25" s="24">
        <v>2034.8</v>
      </c>
      <c r="I25" s="24"/>
      <c r="J25" s="24"/>
      <c r="K25" s="24">
        <f t="shared" si="1"/>
        <v>5309.7</v>
      </c>
      <c r="L25" s="24"/>
      <c r="M25" s="24">
        <f>390.9+1599.8+389+10+2920</f>
        <v>5309.7</v>
      </c>
      <c r="N25" s="24"/>
      <c r="O25" s="22"/>
      <c r="P25" s="25"/>
      <c r="Q25" s="26"/>
      <c r="R25" s="27"/>
      <c r="S25" s="99"/>
      <c r="T25" s="17" t="e">
        <f t="shared" si="2"/>
        <v>#DIV/0!</v>
      </c>
      <c r="U25" s="16"/>
      <c r="V25" s="17"/>
      <c r="W25" s="30"/>
      <c r="X25" s="24">
        <v>976.5</v>
      </c>
      <c r="Y25" s="19">
        <f t="shared" si="4"/>
        <v>0</v>
      </c>
    </row>
    <row r="26" spans="1:25" ht="12.75" customHeight="1" hidden="1">
      <c r="A26" s="28" t="s">
        <v>52</v>
      </c>
      <c r="B26" s="22"/>
      <c r="C26" s="24"/>
      <c r="D26" s="24"/>
      <c r="E26" s="24">
        <v>1871.8</v>
      </c>
      <c r="F26" s="23">
        <f t="shared" si="3"/>
        <v>0</v>
      </c>
      <c r="G26" s="24"/>
      <c r="H26" s="24"/>
      <c r="I26" s="24"/>
      <c r="J26" s="24"/>
      <c r="K26" s="24">
        <f t="shared" si="1"/>
        <v>0</v>
      </c>
      <c r="L26" s="24"/>
      <c r="M26" s="24"/>
      <c r="N26" s="24"/>
      <c r="O26" s="22"/>
      <c r="P26" s="25"/>
      <c r="Q26" s="26"/>
      <c r="R26" s="27"/>
      <c r="S26" s="99"/>
      <c r="T26" s="17" t="e">
        <f t="shared" si="2"/>
        <v>#DIV/0!</v>
      </c>
      <c r="U26" s="16"/>
      <c r="V26" s="17"/>
      <c r="W26" s="30"/>
      <c r="X26" s="24">
        <v>311.4</v>
      </c>
      <c r="Y26" s="19">
        <f t="shared" si="4"/>
        <v>0</v>
      </c>
    </row>
    <row r="27" spans="1:25" ht="12.75" customHeight="1" hidden="1">
      <c r="A27" s="28" t="s">
        <v>53</v>
      </c>
      <c r="B27" s="22"/>
      <c r="C27" s="24"/>
      <c r="D27" s="24"/>
      <c r="E27" s="24">
        <v>6218</v>
      </c>
      <c r="F27" s="23">
        <f t="shared" si="3"/>
        <v>6481.5</v>
      </c>
      <c r="G27" s="24"/>
      <c r="H27" s="24">
        <v>6481.5</v>
      </c>
      <c r="I27" s="24"/>
      <c r="J27" s="24"/>
      <c r="K27" s="24">
        <f t="shared" si="1"/>
        <v>6652</v>
      </c>
      <c r="L27" s="24"/>
      <c r="M27" s="24">
        <v>6652</v>
      </c>
      <c r="N27" s="24"/>
      <c r="O27" s="22"/>
      <c r="P27" s="25"/>
      <c r="Q27" s="26"/>
      <c r="R27" s="27"/>
      <c r="S27" s="99"/>
      <c r="T27" s="17" t="e">
        <f t="shared" si="2"/>
        <v>#DIV/0!</v>
      </c>
      <c r="U27" s="16"/>
      <c r="V27" s="17"/>
      <c r="W27" s="30"/>
      <c r="X27" s="24">
        <v>2079.9</v>
      </c>
      <c r="Y27" s="19">
        <f t="shared" si="4"/>
        <v>0</v>
      </c>
    </row>
    <row r="28" spans="1:25" ht="0.75" customHeight="1" hidden="1">
      <c r="A28" s="28" t="s">
        <v>54</v>
      </c>
      <c r="B28" s="22"/>
      <c r="C28" s="24"/>
      <c r="D28" s="24"/>
      <c r="E28" s="24">
        <v>1555</v>
      </c>
      <c r="F28" s="23">
        <f t="shared" si="3"/>
        <v>1250.8</v>
      </c>
      <c r="G28" s="24">
        <v>1250.8</v>
      </c>
      <c r="H28" s="24"/>
      <c r="I28" s="24"/>
      <c r="J28" s="24"/>
      <c r="K28" s="24">
        <f t="shared" si="1"/>
        <v>0</v>
      </c>
      <c r="L28" s="24"/>
      <c r="M28" s="24"/>
      <c r="N28" s="24"/>
      <c r="O28" s="22"/>
      <c r="P28" s="25"/>
      <c r="Q28" s="26"/>
      <c r="R28" s="27"/>
      <c r="S28" s="99"/>
      <c r="T28" s="17" t="e">
        <f t="shared" si="2"/>
        <v>#DIV/0!</v>
      </c>
      <c r="U28" s="16">
        <f>J28/G28*100</f>
        <v>0</v>
      </c>
      <c r="V28" s="17">
        <f>L28/G28*100</f>
        <v>0</v>
      </c>
      <c r="W28" s="30"/>
      <c r="X28" s="24">
        <v>3897.1</v>
      </c>
      <c r="Y28" s="19">
        <f t="shared" si="4"/>
        <v>0</v>
      </c>
    </row>
    <row r="29" spans="1:25" ht="0.75" customHeight="1">
      <c r="A29" s="28"/>
      <c r="B29" s="22"/>
      <c r="C29" s="24"/>
      <c r="D29" s="24"/>
      <c r="E29" s="24"/>
      <c r="F29" s="23"/>
      <c r="G29" s="24"/>
      <c r="H29" s="24"/>
      <c r="I29" s="24"/>
      <c r="J29" s="24"/>
      <c r="K29" s="24"/>
      <c r="L29" s="24"/>
      <c r="M29" s="24"/>
      <c r="N29" s="24"/>
      <c r="O29" s="22"/>
      <c r="P29" s="25"/>
      <c r="Q29" s="26"/>
      <c r="R29" s="27"/>
      <c r="S29" s="99"/>
      <c r="T29" s="17" t="e">
        <f t="shared" si="2"/>
        <v>#DIV/0!</v>
      </c>
      <c r="U29" s="16"/>
      <c r="V29" s="17"/>
      <c r="W29" s="30"/>
      <c r="X29" s="24"/>
      <c r="Y29" s="19"/>
    </row>
    <row r="30" spans="1:25" ht="27" customHeight="1">
      <c r="A30" s="9" t="s">
        <v>46</v>
      </c>
      <c r="B30" s="10" t="s">
        <v>47</v>
      </c>
      <c r="C30" s="24"/>
      <c r="D30" s="24"/>
      <c r="E30" s="24"/>
      <c r="F30" s="23">
        <f t="shared" si="3"/>
        <v>0</v>
      </c>
      <c r="G30" s="24"/>
      <c r="H30" s="24"/>
      <c r="I30" s="24"/>
      <c r="J30" s="24"/>
      <c r="K30" s="24">
        <f t="shared" si="1"/>
        <v>0</v>
      </c>
      <c r="L30" s="24"/>
      <c r="M30" s="24"/>
      <c r="N30" s="24"/>
      <c r="O30" s="22"/>
      <c r="P30" s="25"/>
      <c r="Q30" s="26"/>
      <c r="R30" s="15">
        <v>297.4</v>
      </c>
      <c r="S30" s="99">
        <v>63.1</v>
      </c>
      <c r="T30" s="17">
        <f t="shared" si="2"/>
        <v>21.21721587088097</v>
      </c>
      <c r="U30" s="16"/>
      <c r="V30" s="17"/>
      <c r="W30" s="30"/>
      <c r="X30" s="24">
        <v>2166.8</v>
      </c>
      <c r="Y30" s="19">
        <f t="shared" si="4"/>
        <v>0</v>
      </c>
    </row>
    <row r="31" spans="1:25" ht="30.75">
      <c r="A31" s="28" t="s">
        <v>55</v>
      </c>
      <c r="B31" s="22"/>
      <c r="C31" s="24"/>
      <c r="D31" s="24"/>
      <c r="E31" s="24">
        <v>5000</v>
      </c>
      <c r="F31" s="23">
        <f t="shared" si="3"/>
        <v>5000</v>
      </c>
      <c r="G31" s="24">
        <v>5000</v>
      </c>
      <c r="H31" s="24"/>
      <c r="I31" s="24"/>
      <c r="J31" s="24">
        <v>9952</v>
      </c>
      <c r="K31" s="24">
        <f t="shared" si="1"/>
        <v>9853</v>
      </c>
      <c r="L31" s="24">
        <v>9853</v>
      </c>
      <c r="M31" s="24"/>
      <c r="N31" s="24"/>
      <c r="O31" s="22" t="s">
        <v>56</v>
      </c>
      <c r="P31" s="25"/>
      <c r="Q31" s="26" t="s">
        <v>48</v>
      </c>
      <c r="R31" s="31">
        <v>297.4</v>
      </c>
      <c r="S31" s="99">
        <v>63.1</v>
      </c>
      <c r="T31" s="102">
        <f t="shared" si="2"/>
        <v>21.21721587088097</v>
      </c>
      <c r="U31" s="16">
        <f aca="true" t="shared" si="5" ref="U31:U37">J31/G31*100</f>
        <v>199.04</v>
      </c>
      <c r="V31" s="17">
        <f aca="true" t="shared" si="6" ref="V31:V37">L31/G31*100</f>
        <v>197.06</v>
      </c>
      <c r="W31" s="30"/>
      <c r="X31" s="24">
        <v>706.7</v>
      </c>
      <c r="Y31" s="19">
        <f t="shared" si="4"/>
        <v>1394.2266874204047</v>
      </c>
    </row>
    <row r="32" spans="1:25" ht="33" customHeight="1" hidden="1">
      <c r="A32" s="28" t="s">
        <v>57</v>
      </c>
      <c r="B32" s="22"/>
      <c r="C32" s="24"/>
      <c r="D32" s="24"/>
      <c r="E32" s="24"/>
      <c r="F32" s="23">
        <f t="shared" si="3"/>
        <v>0</v>
      </c>
      <c r="G32" s="24"/>
      <c r="H32" s="24"/>
      <c r="I32" s="24"/>
      <c r="J32" s="24"/>
      <c r="K32" s="24">
        <f t="shared" si="1"/>
        <v>0</v>
      </c>
      <c r="L32" s="24"/>
      <c r="M32" s="24"/>
      <c r="N32" s="24"/>
      <c r="O32" s="22"/>
      <c r="P32" s="25"/>
      <c r="Q32" s="26"/>
      <c r="R32" s="31"/>
      <c r="S32" s="99"/>
      <c r="T32" s="17" t="e">
        <f t="shared" si="2"/>
        <v>#DIV/0!</v>
      </c>
      <c r="U32" s="16" t="e">
        <f t="shared" si="5"/>
        <v>#DIV/0!</v>
      </c>
      <c r="V32" s="17" t="e">
        <f t="shared" si="6"/>
        <v>#DIV/0!</v>
      </c>
      <c r="W32" s="30"/>
      <c r="X32" s="24"/>
      <c r="Y32" s="19" t="e">
        <f t="shared" si="4"/>
        <v>#DIV/0!</v>
      </c>
    </row>
    <row r="33" spans="1:25" ht="28.5" customHeight="1" hidden="1">
      <c r="A33" s="28" t="s">
        <v>58</v>
      </c>
      <c r="B33" s="22"/>
      <c r="C33" s="24"/>
      <c r="D33" s="24"/>
      <c r="E33" s="24"/>
      <c r="F33" s="23">
        <f t="shared" si="3"/>
        <v>0</v>
      </c>
      <c r="G33" s="24"/>
      <c r="H33" s="24"/>
      <c r="I33" s="24"/>
      <c r="J33" s="24"/>
      <c r="K33" s="24">
        <f t="shared" si="1"/>
        <v>0</v>
      </c>
      <c r="L33" s="24"/>
      <c r="M33" s="24"/>
      <c r="N33" s="24"/>
      <c r="O33" s="22"/>
      <c r="P33" s="25"/>
      <c r="Q33" s="26"/>
      <c r="R33" s="31"/>
      <c r="S33" s="99"/>
      <c r="T33" s="17" t="e">
        <f t="shared" si="2"/>
        <v>#DIV/0!</v>
      </c>
      <c r="U33" s="16" t="e">
        <f t="shared" si="5"/>
        <v>#DIV/0!</v>
      </c>
      <c r="V33" s="17" t="e">
        <f t="shared" si="6"/>
        <v>#DIV/0!</v>
      </c>
      <c r="W33" s="30"/>
      <c r="X33" s="24"/>
      <c r="Y33" s="19" t="e">
        <f t="shared" si="4"/>
        <v>#DIV/0!</v>
      </c>
    </row>
    <row r="34" spans="1:25" ht="32.25" customHeight="1">
      <c r="A34" s="9" t="s">
        <v>59</v>
      </c>
      <c r="B34" s="10" t="s">
        <v>60</v>
      </c>
      <c r="C34" s="11">
        <f>SUM(C36:C37)</f>
        <v>0</v>
      </c>
      <c r="D34" s="11">
        <f>SUM(D36:D37)</f>
        <v>0</v>
      </c>
      <c r="E34" s="11">
        <f>SUM(E35:E37)</f>
        <v>1000</v>
      </c>
      <c r="F34" s="11">
        <f>SUM(F35:F35)</f>
        <v>2800</v>
      </c>
      <c r="G34" s="11">
        <f>SUM(G35:G35)</f>
        <v>2800</v>
      </c>
      <c r="H34" s="11">
        <f>SUM(H35:H35)</f>
        <v>0</v>
      </c>
      <c r="I34" s="11">
        <f>SUM(I35:I35)</f>
        <v>0</v>
      </c>
      <c r="J34" s="11">
        <f>SUM(J35:J37)</f>
        <v>4292</v>
      </c>
      <c r="K34" s="11">
        <f>SUM(K35:K37)</f>
        <v>2800</v>
      </c>
      <c r="L34" s="11">
        <f>SUM(L35:L37)</f>
        <v>2800</v>
      </c>
      <c r="M34" s="11">
        <f>SUM(M35:M37)</f>
        <v>0</v>
      </c>
      <c r="N34" s="11">
        <f>SUM(N35:N37)</f>
        <v>0</v>
      </c>
      <c r="O34" s="10"/>
      <c r="P34" s="13">
        <v>100</v>
      </c>
      <c r="Q34" s="14"/>
      <c r="R34" s="15">
        <f>R35+R38</f>
        <v>355</v>
      </c>
      <c r="S34" s="98">
        <v>0</v>
      </c>
      <c r="T34" s="17">
        <f t="shared" si="2"/>
        <v>0</v>
      </c>
      <c r="U34" s="16">
        <f t="shared" si="5"/>
        <v>153.28571428571428</v>
      </c>
      <c r="V34" s="17">
        <f t="shared" si="6"/>
        <v>100</v>
      </c>
      <c r="W34" s="18" t="e">
        <f>L34/L94*100</f>
        <v>#REF!</v>
      </c>
      <c r="X34" s="11">
        <f>SUM(X35:X37)</f>
        <v>250</v>
      </c>
      <c r="Y34" s="19">
        <f t="shared" si="4"/>
        <v>1120</v>
      </c>
    </row>
    <row r="35" spans="1:25" ht="48.75" customHeight="1">
      <c r="A35" s="28" t="s">
        <v>61</v>
      </c>
      <c r="B35" s="22"/>
      <c r="C35" s="11"/>
      <c r="D35" s="11"/>
      <c r="E35" s="24">
        <v>1000</v>
      </c>
      <c r="F35" s="23">
        <f t="shared" si="3"/>
        <v>2800</v>
      </c>
      <c r="G35" s="24">
        <f>1000+1800</f>
        <v>2800</v>
      </c>
      <c r="H35" s="24"/>
      <c r="I35" s="24"/>
      <c r="J35" s="24">
        <v>4292</v>
      </c>
      <c r="K35" s="24">
        <f t="shared" si="1"/>
        <v>2800</v>
      </c>
      <c r="L35" s="24">
        <v>2800</v>
      </c>
      <c r="M35" s="24"/>
      <c r="N35" s="24"/>
      <c r="O35" s="22" t="s">
        <v>62</v>
      </c>
      <c r="P35" s="25">
        <v>50</v>
      </c>
      <c r="Q35" s="26"/>
      <c r="R35" s="31">
        <v>35</v>
      </c>
      <c r="S35" s="99">
        <v>0</v>
      </c>
      <c r="T35" s="102">
        <f t="shared" si="2"/>
        <v>0</v>
      </c>
      <c r="U35" s="16">
        <f t="shared" si="5"/>
        <v>153.28571428571428</v>
      </c>
      <c r="V35" s="17">
        <f t="shared" si="6"/>
        <v>100</v>
      </c>
      <c r="W35" s="18"/>
      <c r="X35" s="24">
        <v>250</v>
      </c>
      <c r="Y35" s="19"/>
    </row>
    <row r="36" spans="1:25" ht="15" customHeight="1" hidden="1">
      <c r="A36" s="28" t="s">
        <v>63</v>
      </c>
      <c r="B36" s="22" t="s">
        <v>64</v>
      </c>
      <c r="C36" s="24"/>
      <c r="D36" s="24"/>
      <c r="E36" s="24"/>
      <c r="F36" s="23">
        <f t="shared" si="3"/>
        <v>37.5</v>
      </c>
      <c r="G36" s="24">
        <v>12.5</v>
      </c>
      <c r="H36" s="24">
        <v>12.5</v>
      </c>
      <c r="I36" s="24">
        <v>12.5</v>
      </c>
      <c r="J36" s="24"/>
      <c r="K36" s="24">
        <f t="shared" si="1"/>
        <v>0</v>
      </c>
      <c r="L36" s="24"/>
      <c r="M36" s="24"/>
      <c r="N36" s="24"/>
      <c r="O36" s="22" t="s">
        <v>64</v>
      </c>
      <c r="P36" s="25"/>
      <c r="Q36" s="26"/>
      <c r="R36" s="31"/>
      <c r="S36" s="99">
        <v>0</v>
      </c>
      <c r="T36" s="102" t="e">
        <f t="shared" si="2"/>
        <v>#DIV/0!</v>
      </c>
      <c r="U36" s="16">
        <f t="shared" si="5"/>
        <v>0</v>
      </c>
      <c r="V36" s="17">
        <f t="shared" si="6"/>
        <v>0</v>
      </c>
      <c r="W36" s="30"/>
      <c r="X36" s="24"/>
      <c r="Y36" s="19" t="e">
        <f>L36/X36*100</f>
        <v>#DIV/0!</v>
      </c>
    </row>
    <row r="37" spans="1:25" ht="23.25" customHeight="1" hidden="1">
      <c r="A37" s="28" t="s">
        <v>65</v>
      </c>
      <c r="B37" s="22" t="s">
        <v>66</v>
      </c>
      <c r="C37" s="24">
        <v>0</v>
      </c>
      <c r="D37" s="24"/>
      <c r="E37" s="24">
        <v>0</v>
      </c>
      <c r="F37" s="23">
        <f t="shared" si="3"/>
        <v>1500</v>
      </c>
      <c r="G37" s="24">
        <v>500</v>
      </c>
      <c r="H37" s="24">
        <v>500</v>
      </c>
      <c r="I37" s="24">
        <v>500</v>
      </c>
      <c r="J37" s="24"/>
      <c r="K37" s="24">
        <f t="shared" si="1"/>
        <v>0</v>
      </c>
      <c r="L37" s="24"/>
      <c r="M37" s="24"/>
      <c r="N37" s="24"/>
      <c r="O37" s="22" t="s">
        <v>66</v>
      </c>
      <c r="P37" s="25"/>
      <c r="Q37" s="26"/>
      <c r="R37" s="31"/>
      <c r="S37" s="99">
        <v>0</v>
      </c>
      <c r="T37" s="102" t="e">
        <f t="shared" si="2"/>
        <v>#DIV/0!</v>
      </c>
      <c r="U37" s="16">
        <f t="shared" si="5"/>
        <v>0</v>
      </c>
      <c r="V37" s="17">
        <f t="shared" si="6"/>
        <v>0</v>
      </c>
      <c r="W37" s="30"/>
      <c r="X37" s="24"/>
      <c r="Y37" s="19" t="e">
        <f>L37/X37*100</f>
        <v>#DIV/0!</v>
      </c>
    </row>
    <row r="38" spans="1:25" ht="36" customHeight="1">
      <c r="A38" s="28" t="s">
        <v>67</v>
      </c>
      <c r="B38" s="22"/>
      <c r="C38" s="24"/>
      <c r="D38" s="24"/>
      <c r="E38" s="24"/>
      <c r="F38" s="23"/>
      <c r="G38" s="24"/>
      <c r="H38" s="24"/>
      <c r="I38" s="24"/>
      <c r="J38" s="24"/>
      <c r="K38" s="24"/>
      <c r="L38" s="24"/>
      <c r="M38" s="24"/>
      <c r="N38" s="24"/>
      <c r="O38" s="22" t="s">
        <v>68</v>
      </c>
      <c r="P38" s="25"/>
      <c r="Q38" s="26"/>
      <c r="R38" s="31">
        <v>320</v>
      </c>
      <c r="S38" s="99">
        <v>0</v>
      </c>
      <c r="T38" s="102">
        <f t="shared" si="2"/>
        <v>0</v>
      </c>
      <c r="U38" s="16"/>
      <c r="V38" s="17"/>
      <c r="W38" s="30"/>
      <c r="X38" s="24"/>
      <c r="Y38" s="19"/>
    </row>
    <row r="39" spans="1:25" ht="19.5" customHeight="1">
      <c r="A39" s="9" t="s">
        <v>69</v>
      </c>
      <c r="B39" s="10" t="s">
        <v>70</v>
      </c>
      <c r="C39" s="11">
        <f>SUM(C40:C47)</f>
        <v>7159</v>
      </c>
      <c r="D39" s="11">
        <f>SUM(D40:D47)</f>
        <v>0</v>
      </c>
      <c r="E39" s="11" t="e">
        <f>#REF!+#REF!+E42+E43+E45+E47</f>
        <v>#REF!</v>
      </c>
      <c r="F39" s="11" t="e">
        <f>#REF!+#REF!+F42+F43+F45+F47</f>
        <v>#REF!</v>
      </c>
      <c r="G39" s="11" t="e">
        <f>#REF!+#REF!+G42+G43+G45+G47</f>
        <v>#REF!</v>
      </c>
      <c r="H39" s="11" t="e">
        <f>#REF!+#REF!+H42+H43+H45+H47</f>
        <v>#REF!</v>
      </c>
      <c r="I39" s="11" t="e">
        <f>#REF!+#REF!+I42+I43+I45+I47</f>
        <v>#REF!</v>
      </c>
      <c r="J39" s="11" t="e">
        <f>#REF!+#REF!+J42+J43+J45+J47+J44</f>
        <v>#REF!</v>
      </c>
      <c r="K39" s="11" t="e">
        <f>#REF!+#REF!+K42+K43+K45+K47+K44</f>
        <v>#REF!</v>
      </c>
      <c r="L39" s="11" t="e">
        <f>#REF!+#REF!+L42+L43+L45+L47+L44</f>
        <v>#REF!</v>
      </c>
      <c r="M39" s="11" t="e">
        <f>#REF!+#REF!+M42+M43+M45+M47+M44</f>
        <v>#REF!</v>
      </c>
      <c r="N39" s="11" t="e">
        <f>#REF!+#REF!+N42+N43+N45+N47+N44</f>
        <v>#REF!</v>
      </c>
      <c r="O39" s="10"/>
      <c r="P39" s="13">
        <v>721</v>
      </c>
      <c r="Q39" s="14" t="s">
        <v>71</v>
      </c>
      <c r="R39" s="15">
        <f>R40+R47</f>
        <v>10398.51</v>
      </c>
      <c r="S39" s="98">
        <f>S40+S47</f>
        <v>30.3</v>
      </c>
      <c r="T39" s="17">
        <f t="shared" si="2"/>
        <v>0.29138790076655213</v>
      </c>
      <c r="U39" s="16" t="e">
        <f>J39/G39*100</f>
        <v>#REF!</v>
      </c>
      <c r="V39" s="17" t="e">
        <f>L39/G39*100</f>
        <v>#REF!</v>
      </c>
      <c r="W39" s="18" t="e">
        <f>L39/L94*100</f>
        <v>#REF!</v>
      </c>
      <c r="X39" s="11" t="e">
        <f>#REF!+#REF!+X42+X43+X45+X47</f>
        <v>#REF!</v>
      </c>
      <c r="Y39" s="19" t="e">
        <f>L39/X39*100</f>
        <v>#REF!</v>
      </c>
    </row>
    <row r="40" spans="1:25" ht="16.5" customHeight="1">
      <c r="A40" s="28" t="s">
        <v>72</v>
      </c>
      <c r="B40" s="22"/>
      <c r="C40" s="24"/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4"/>
      <c r="O40" s="22" t="s">
        <v>73</v>
      </c>
      <c r="P40" s="25"/>
      <c r="Q40" s="26"/>
      <c r="R40" s="31">
        <v>10388.51</v>
      </c>
      <c r="S40" s="99">
        <v>28.8</v>
      </c>
      <c r="T40" s="17">
        <f t="shared" si="2"/>
        <v>0.27722936205480864</v>
      </c>
      <c r="U40" s="16"/>
      <c r="V40" s="17"/>
      <c r="W40" s="30"/>
      <c r="X40" s="24"/>
      <c r="Y40" s="19"/>
    </row>
    <row r="41" spans="1:25" ht="0.75" customHeight="1" hidden="1">
      <c r="A41" s="28" t="s">
        <v>74</v>
      </c>
      <c r="B41" s="22"/>
      <c r="C41" s="24"/>
      <c r="D41" s="24"/>
      <c r="E41" s="24"/>
      <c r="F41" s="23"/>
      <c r="G41" s="24"/>
      <c r="H41" s="24"/>
      <c r="I41" s="24"/>
      <c r="J41" s="24"/>
      <c r="K41" s="24"/>
      <c r="L41" s="24"/>
      <c r="M41" s="24"/>
      <c r="N41" s="24"/>
      <c r="O41" s="22" t="s">
        <v>75</v>
      </c>
      <c r="P41" s="25"/>
      <c r="Q41" s="26"/>
      <c r="R41" s="31"/>
      <c r="S41" s="99"/>
      <c r="T41" s="17" t="e">
        <f t="shared" si="2"/>
        <v>#DIV/0!</v>
      </c>
      <c r="U41" s="16"/>
      <c r="V41" s="17"/>
      <c r="W41" s="30"/>
      <c r="X41" s="24"/>
      <c r="Y41" s="19"/>
    </row>
    <row r="42" spans="1:25" ht="0" customHeight="1" hidden="1">
      <c r="A42" s="28" t="s">
        <v>76</v>
      </c>
      <c r="B42" s="22"/>
      <c r="C42" s="24">
        <v>3759</v>
      </c>
      <c r="D42" s="24"/>
      <c r="E42" s="24">
        <v>5260</v>
      </c>
      <c r="F42" s="23">
        <f t="shared" si="3"/>
        <v>6321.5</v>
      </c>
      <c r="G42" s="24">
        <f>5375.5+946</f>
        <v>6321.5</v>
      </c>
      <c r="H42" s="24"/>
      <c r="I42" s="24"/>
      <c r="J42" s="24">
        <v>8120.4</v>
      </c>
      <c r="K42" s="24">
        <f t="shared" si="1"/>
        <v>6952</v>
      </c>
      <c r="L42" s="24">
        <v>6952</v>
      </c>
      <c r="M42" s="24"/>
      <c r="N42" s="24"/>
      <c r="O42" s="22" t="s">
        <v>77</v>
      </c>
      <c r="P42" s="25">
        <v>500</v>
      </c>
      <c r="Q42" s="26"/>
      <c r="R42" s="31"/>
      <c r="S42" s="99"/>
      <c r="T42" s="17" t="e">
        <f t="shared" si="2"/>
        <v>#DIV/0!</v>
      </c>
      <c r="U42" s="16">
        <f>J42/G42*100</f>
        <v>128.45685359487462</v>
      </c>
      <c r="V42" s="17">
        <f>L42/G42*100</f>
        <v>109.97389860001583</v>
      </c>
      <c r="W42" s="30"/>
      <c r="X42" s="24">
        <v>2405.8</v>
      </c>
      <c r="Y42" s="19">
        <f>L42/X42*100</f>
        <v>288.9683265441849</v>
      </c>
    </row>
    <row r="43" spans="1:25" ht="12" customHeight="1" hidden="1">
      <c r="A43" s="28" t="s">
        <v>78</v>
      </c>
      <c r="B43" s="22"/>
      <c r="C43" s="24"/>
      <c r="D43" s="24"/>
      <c r="E43" s="24"/>
      <c r="F43" s="23">
        <f t="shared" si="3"/>
        <v>22162.7</v>
      </c>
      <c r="G43" s="24"/>
      <c r="H43" s="24">
        <f>17564.9+4597.8</f>
        <v>22162.7</v>
      </c>
      <c r="I43" s="24"/>
      <c r="J43" s="24"/>
      <c r="K43" s="24">
        <f t="shared" si="1"/>
        <v>0</v>
      </c>
      <c r="L43" s="24"/>
      <c r="M43" s="24"/>
      <c r="N43" s="24"/>
      <c r="O43" s="22" t="s">
        <v>77</v>
      </c>
      <c r="P43" s="25"/>
      <c r="Q43" s="26"/>
      <c r="R43" s="31"/>
      <c r="S43" s="99"/>
      <c r="T43" s="17" t="e">
        <f t="shared" si="2"/>
        <v>#DIV/0!</v>
      </c>
      <c r="U43" s="16"/>
      <c r="V43" s="17"/>
      <c r="W43" s="30"/>
      <c r="X43" s="24">
        <v>13108.7</v>
      </c>
      <c r="Y43" s="19">
        <f>L43/X43*100</f>
        <v>0</v>
      </c>
    </row>
    <row r="44" spans="1:25" ht="12.75" customHeight="1" hidden="1">
      <c r="A44" s="28" t="s">
        <v>79</v>
      </c>
      <c r="B44" s="22"/>
      <c r="C44" s="24"/>
      <c r="D44" s="24"/>
      <c r="E44" s="24"/>
      <c r="F44" s="23">
        <f t="shared" si="3"/>
        <v>946</v>
      </c>
      <c r="G44" s="24">
        <v>946</v>
      </c>
      <c r="H44" s="24"/>
      <c r="I44" s="24"/>
      <c r="J44" s="24">
        <v>1818</v>
      </c>
      <c r="K44" s="24">
        <f t="shared" si="1"/>
        <v>1818</v>
      </c>
      <c r="L44" s="24">
        <v>1818</v>
      </c>
      <c r="M44" s="24"/>
      <c r="N44" s="24"/>
      <c r="O44" s="22"/>
      <c r="P44" s="25"/>
      <c r="Q44" s="26"/>
      <c r="R44" s="31"/>
      <c r="S44" s="99"/>
      <c r="T44" s="17" t="e">
        <f t="shared" si="2"/>
        <v>#DIV/0!</v>
      </c>
      <c r="U44" s="16">
        <f aca="true" t="shared" si="7" ref="U44:U52">J44/G44*100</f>
        <v>192.17758985200845</v>
      </c>
      <c r="V44" s="17">
        <f aca="true" t="shared" si="8" ref="V44:V52">L44/G44*100</f>
        <v>192.17758985200845</v>
      </c>
      <c r="W44" s="30"/>
      <c r="X44" s="24"/>
      <c r="Y44" s="19"/>
    </row>
    <row r="45" spans="1:25" ht="15.75" customHeight="1" hidden="1">
      <c r="A45" s="33" t="s">
        <v>80</v>
      </c>
      <c r="B45" s="22"/>
      <c r="C45" s="24">
        <v>1500</v>
      </c>
      <c r="D45" s="24"/>
      <c r="E45" s="24">
        <v>1000</v>
      </c>
      <c r="F45" s="23">
        <f t="shared" si="3"/>
        <v>1000</v>
      </c>
      <c r="G45" s="24">
        <v>1000</v>
      </c>
      <c r="H45" s="24"/>
      <c r="I45" s="24"/>
      <c r="J45" s="24">
        <v>3518.5</v>
      </c>
      <c r="K45" s="24">
        <f t="shared" si="1"/>
        <v>1846</v>
      </c>
      <c r="L45" s="24">
        <v>1846</v>
      </c>
      <c r="M45" s="24"/>
      <c r="N45" s="24"/>
      <c r="O45" s="22" t="s">
        <v>81</v>
      </c>
      <c r="P45" s="25"/>
      <c r="Q45" s="26"/>
      <c r="R45" s="31"/>
      <c r="S45" s="99"/>
      <c r="T45" s="17" t="e">
        <f t="shared" si="2"/>
        <v>#DIV/0!</v>
      </c>
      <c r="U45" s="16">
        <f t="shared" si="7"/>
        <v>351.85</v>
      </c>
      <c r="V45" s="17">
        <f t="shared" si="8"/>
        <v>184.60000000000002</v>
      </c>
      <c r="W45" s="30"/>
      <c r="X45" s="24">
        <v>590.2</v>
      </c>
      <c r="Y45" s="19">
        <f>L45/X45*100</f>
        <v>312.77533039647574</v>
      </c>
    </row>
    <row r="46" spans="1:25" ht="16.5" customHeight="1" hidden="1">
      <c r="A46" s="28" t="s">
        <v>82</v>
      </c>
      <c r="B46" s="22"/>
      <c r="C46" s="24"/>
      <c r="D46" s="24"/>
      <c r="E46" s="24">
        <v>1000</v>
      </c>
      <c r="F46" s="23">
        <f t="shared" si="3"/>
        <v>3000</v>
      </c>
      <c r="G46" s="24">
        <v>1000</v>
      </c>
      <c r="H46" s="24">
        <v>1000</v>
      </c>
      <c r="I46" s="24">
        <v>1000</v>
      </c>
      <c r="J46" s="24">
        <v>250</v>
      </c>
      <c r="K46" s="24">
        <f t="shared" si="1"/>
        <v>750</v>
      </c>
      <c r="L46" s="24">
        <v>250</v>
      </c>
      <c r="M46" s="24">
        <v>250</v>
      </c>
      <c r="N46" s="24">
        <v>250</v>
      </c>
      <c r="O46" s="22" t="s">
        <v>73</v>
      </c>
      <c r="P46" s="25">
        <f>J46+K46+L46</f>
        <v>1250</v>
      </c>
      <c r="Q46" s="26"/>
      <c r="R46" s="31"/>
      <c r="S46" s="99"/>
      <c r="T46" s="17" t="e">
        <f t="shared" si="2"/>
        <v>#DIV/0!</v>
      </c>
      <c r="U46" s="16">
        <f t="shared" si="7"/>
        <v>25</v>
      </c>
      <c r="V46" s="17">
        <f t="shared" si="8"/>
        <v>25</v>
      </c>
      <c r="W46" s="30"/>
      <c r="X46" s="24">
        <v>155.6</v>
      </c>
      <c r="Y46" s="19">
        <f>L46/X46*100</f>
        <v>160.66838046272494</v>
      </c>
    </row>
    <row r="47" spans="1:25" ht="31.5" customHeight="1">
      <c r="A47" s="28" t="s">
        <v>83</v>
      </c>
      <c r="B47" s="22"/>
      <c r="C47" s="24">
        <v>1900</v>
      </c>
      <c r="D47" s="24"/>
      <c r="E47" s="24">
        <f>SUM(E48:E49)</f>
        <v>3900</v>
      </c>
      <c r="F47" s="23">
        <f t="shared" si="3"/>
        <v>7900</v>
      </c>
      <c r="G47" s="24">
        <f>SUM(G48:G49)</f>
        <v>7900</v>
      </c>
      <c r="H47" s="24">
        <f>SUM(H48:H49)</f>
        <v>0</v>
      </c>
      <c r="I47" s="24">
        <f>SUM(I48:I49)</f>
        <v>0</v>
      </c>
      <c r="J47" s="24">
        <f>SUM(J48:J49)</f>
        <v>21100</v>
      </c>
      <c r="K47" s="24">
        <f t="shared" si="1"/>
        <v>7900</v>
      </c>
      <c r="L47" s="24">
        <f>SUM(L48:L49)</f>
        <v>7900</v>
      </c>
      <c r="M47" s="24">
        <f>SUM(M48:M49)</f>
        <v>0</v>
      </c>
      <c r="N47" s="24">
        <f>SUM(N48:N49)</f>
        <v>0</v>
      </c>
      <c r="O47" s="22" t="s">
        <v>84</v>
      </c>
      <c r="P47" s="25">
        <v>561</v>
      </c>
      <c r="Q47" s="26" t="s">
        <v>85</v>
      </c>
      <c r="R47" s="31">
        <v>10</v>
      </c>
      <c r="S47" s="99">
        <v>1.5</v>
      </c>
      <c r="T47" s="17">
        <f t="shared" si="2"/>
        <v>15</v>
      </c>
      <c r="U47" s="16">
        <f t="shared" si="7"/>
        <v>267.0886075949367</v>
      </c>
      <c r="V47" s="17">
        <f t="shared" si="8"/>
        <v>100</v>
      </c>
      <c r="W47" s="30"/>
      <c r="X47" s="24">
        <v>630</v>
      </c>
      <c r="Y47" s="19">
        <f>L47/X47*100</f>
        <v>1253.968253968254</v>
      </c>
    </row>
    <row r="48" spans="1:25" ht="2.25" customHeight="1" hidden="1">
      <c r="A48" s="28">
        <v>3</v>
      </c>
      <c r="B48" s="22"/>
      <c r="C48" s="24"/>
      <c r="D48" s="24"/>
      <c r="E48" s="24">
        <v>900</v>
      </c>
      <c r="F48" s="23">
        <f t="shared" si="3"/>
        <v>900</v>
      </c>
      <c r="G48" s="24">
        <v>900</v>
      </c>
      <c r="H48" s="24"/>
      <c r="I48" s="24"/>
      <c r="J48" s="24">
        <v>900</v>
      </c>
      <c r="K48" s="24">
        <f t="shared" si="1"/>
        <v>900</v>
      </c>
      <c r="L48" s="24">
        <v>900</v>
      </c>
      <c r="M48" s="24"/>
      <c r="N48" s="24"/>
      <c r="O48" s="22"/>
      <c r="P48" s="25"/>
      <c r="Q48" s="26"/>
      <c r="R48" s="31"/>
      <c r="S48" s="99"/>
      <c r="T48" s="17" t="e">
        <f t="shared" si="2"/>
        <v>#DIV/0!</v>
      </c>
      <c r="U48" s="16">
        <f t="shared" si="7"/>
        <v>100</v>
      </c>
      <c r="V48" s="17">
        <f t="shared" si="8"/>
        <v>100</v>
      </c>
      <c r="W48" s="30"/>
      <c r="X48" s="24">
        <v>630</v>
      </c>
      <c r="Y48" s="19">
        <f>L48/X48*100</f>
        <v>142.85714285714286</v>
      </c>
    </row>
    <row r="49" spans="1:25" ht="12.75" customHeight="1" hidden="1">
      <c r="A49" s="28" t="s">
        <v>86</v>
      </c>
      <c r="B49" s="22"/>
      <c r="C49" s="24"/>
      <c r="D49" s="24"/>
      <c r="E49" s="24">
        <v>3000</v>
      </c>
      <c r="F49" s="23">
        <f t="shared" si="3"/>
        <v>7000</v>
      </c>
      <c r="G49" s="24">
        <f>9000-2000</f>
        <v>7000</v>
      </c>
      <c r="H49" s="24"/>
      <c r="I49" s="24"/>
      <c r="J49" s="24">
        <v>20200</v>
      </c>
      <c r="K49" s="24">
        <f t="shared" si="1"/>
        <v>7000</v>
      </c>
      <c r="L49" s="24">
        <v>7000</v>
      </c>
      <c r="M49" s="24"/>
      <c r="N49" s="24"/>
      <c r="O49" s="22"/>
      <c r="P49" s="25"/>
      <c r="Q49" s="26"/>
      <c r="R49" s="31"/>
      <c r="S49" s="99"/>
      <c r="T49" s="17" t="e">
        <f t="shared" si="2"/>
        <v>#DIV/0!</v>
      </c>
      <c r="U49" s="16">
        <f t="shared" si="7"/>
        <v>288.57142857142856</v>
      </c>
      <c r="V49" s="17">
        <f t="shared" si="8"/>
        <v>100</v>
      </c>
      <c r="W49" s="30"/>
      <c r="X49" s="24"/>
      <c r="Y49" s="19"/>
    </row>
    <row r="50" spans="1:25" ht="20.25" customHeight="1">
      <c r="A50" s="9" t="s">
        <v>87</v>
      </c>
      <c r="B50" s="10" t="s">
        <v>88</v>
      </c>
      <c r="C50" s="11">
        <f>SUM(C51:C54)</f>
        <v>59545</v>
      </c>
      <c r="D50" s="11">
        <f>SUM(D51:D54)</f>
        <v>0</v>
      </c>
      <c r="E50" s="11">
        <f>SUM(E51:E54)</f>
        <v>187764.2</v>
      </c>
      <c r="F50" s="11">
        <f>SUM(F51:F54)</f>
        <v>124746.4</v>
      </c>
      <c r="G50" s="11">
        <f>SUM(G51:G54)</f>
        <v>91446.4</v>
      </c>
      <c r="H50" s="11">
        <f aca="true" t="shared" si="9" ref="H50:N50">SUM(H51:H54)</f>
        <v>33300</v>
      </c>
      <c r="I50" s="11">
        <f t="shared" si="9"/>
        <v>0</v>
      </c>
      <c r="J50" s="11">
        <f>SUM(J51:J54)</f>
        <v>286964.6</v>
      </c>
      <c r="K50" s="11">
        <f t="shared" si="9"/>
        <v>105653</v>
      </c>
      <c r="L50" s="11">
        <f t="shared" si="9"/>
        <v>99187</v>
      </c>
      <c r="M50" s="11">
        <f t="shared" si="9"/>
        <v>6466</v>
      </c>
      <c r="N50" s="11">
        <f t="shared" si="9"/>
        <v>0</v>
      </c>
      <c r="O50" s="10"/>
      <c r="P50" s="13">
        <v>7324.3</v>
      </c>
      <c r="Q50" s="14" t="s">
        <v>89</v>
      </c>
      <c r="R50" s="15">
        <f>R51+R52+R53+R67</f>
        <v>32570.77</v>
      </c>
      <c r="S50" s="98">
        <f>S51+S52+S53+S67</f>
        <v>2714.88</v>
      </c>
      <c r="T50" s="17">
        <f t="shared" si="2"/>
        <v>8.335326429187889</v>
      </c>
      <c r="U50" s="16">
        <f t="shared" si="7"/>
        <v>313.8063390138923</v>
      </c>
      <c r="V50" s="17">
        <f t="shared" si="8"/>
        <v>108.46463064702382</v>
      </c>
      <c r="W50" s="18" t="e">
        <f>L50/L94*100</f>
        <v>#REF!</v>
      </c>
      <c r="X50" s="11">
        <f>SUM(X51:X54)</f>
        <v>123998.7</v>
      </c>
      <c r="Y50" s="19">
        <f>L50/X50*100</f>
        <v>79.99035473759</v>
      </c>
    </row>
    <row r="51" spans="1:25" ht="15">
      <c r="A51" s="28" t="s">
        <v>90</v>
      </c>
      <c r="B51" s="22"/>
      <c r="C51" s="24">
        <v>0</v>
      </c>
      <c r="D51" s="24"/>
      <c r="E51" s="24">
        <v>2500</v>
      </c>
      <c r="F51" s="23">
        <f t="shared" si="3"/>
        <v>8584.099999999999</v>
      </c>
      <c r="G51" s="24">
        <f>32888.5-19806.2-4498.2</f>
        <v>8584.099999999999</v>
      </c>
      <c r="H51" s="24"/>
      <c r="I51" s="24"/>
      <c r="J51" s="24">
        <v>10000</v>
      </c>
      <c r="K51" s="24">
        <f t="shared" si="1"/>
        <v>16466</v>
      </c>
      <c r="L51" s="24">
        <v>10000</v>
      </c>
      <c r="M51" s="24">
        <v>6466</v>
      </c>
      <c r="N51" s="24"/>
      <c r="O51" s="22" t="s">
        <v>91</v>
      </c>
      <c r="P51" s="25">
        <v>2341.4</v>
      </c>
      <c r="Q51" s="26" t="s">
        <v>92</v>
      </c>
      <c r="R51" s="31">
        <v>7704.43</v>
      </c>
      <c r="S51" s="99">
        <v>237.35</v>
      </c>
      <c r="T51" s="102">
        <f t="shared" si="2"/>
        <v>3.080695132540629</v>
      </c>
      <c r="U51" s="16">
        <f t="shared" si="7"/>
        <v>116.49444903950328</v>
      </c>
      <c r="V51" s="17">
        <f t="shared" si="8"/>
        <v>116.49444903950328</v>
      </c>
      <c r="W51" s="30"/>
      <c r="X51" s="24">
        <v>6400</v>
      </c>
      <c r="Y51" s="19"/>
    </row>
    <row r="52" spans="1:25" ht="19.5" customHeight="1">
      <c r="A52" s="28" t="s">
        <v>93</v>
      </c>
      <c r="B52" s="22"/>
      <c r="C52" s="24">
        <v>53545</v>
      </c>
      <c r="D52" s="24">
        <v>-5700</v>
      </c>
      <c r="E52" s="24">
        <v>127031.4</v>
      </c>
      <c r="F52" s="23">
        <f t="shared" si="3"/>
        <v>8995.800000000003</v>
      </c>
      <c r="G52" s="24">
        <f>100242.1-95206.8+2960.5</f>
        <v>7995.800000000003</v>
      </c>
      <c r="H52" s="24">
        <v>1000</v>
      </c>
      <c r="I52" s="24"/>
      <c r="J52" s="24">
        <f>854.5+445.8</f>
        <v>1300.3</v>
      </c>
      <c r="K52" s="24">
        <f t="shared" si="1"/>
        <v>0</v>
      </c>
      <c r="L52" s="24"/>
      <c r="M52" s="24"/>
      <c r="N52" s="24"/>
      <c r="O52" s="22" t="s">
        <v>94</v>
      </c>
      <c r="P52" s="25">
        <v>1340</v>
      </c>
      <c r="Q52" s="26" t="s">
        <v>95</v>
      </c>
      <c r="R52" s="31">
        <v>915.59</v>
      </c>
      <c r="S52" s="99">
        <v>381.79</v>
      </c>
      <c r="T52" s="102">
        <f t="shared" si="2"/>
        <v>41.69879531231228</v>
      </c>
      <c r="U52" s="16">
        <f t="shared" si="7"/>
        <v>16.26228770104304</v>
      </c>
      <c r="V52" s="17">
        <f t="shared" si="8"/>
        <v>0</v>
      </c>
      <c r="W52" s="30"/>
      <c r="X52" s="24">
        <v>103230.5</v>
      </c>
      <c r="Y52" s="19">
        <f>L52/X52*100</f>
        <v>0</v>
      </c>
    </row>
    <row r="53" spans="1:25" ht="15">
      <c r="A53" s="28" t="s">
        <v>96</v>
      </c>
      <c r="B53" s="22"/>
      <c r="C53" s="24"/>
      <c r="D53" s="24"/>
      <c r="E53" s="24"/>
      <c r="F53" s="23">
        <f t="shared" si="3"/>
        <v>0</v>
      </c>
      <c r="G53" s="24"/>
      <c r="H53" s="24"/>
      <c r="I53" s="24"/>
      <c r="J53" s="24">
        <v>37360</v>
      </c>
      <c r="K53" s="24">
        <f t="shared" si="1"/>
        <v>8239</v>
      </c>
      <c r="L53" s="24">
        <v>8239</v>
      </c>
      <c r="M53" s="24"/>
      <c r="N53" s="24"/>
      <c r="O53" s="22" t="s">
        <v>97</v>
      </c>
      <c r="P53" s="25">
        <v>3642.9</v>
      </c>
      <c r="Q53" s="26"/>
      <c r="R53" s="31">
        <v>17029.88</v>
      </c>
      <c r="S53" s="99">
        <v>2039.86</v>
      </c>
      <c r="T53" s="102">
        <f t="shared" si="2"/>
        <v>11.978123157649964</v>
      </c>
      <c r="U53" s="16"/>
      <c r="V53" s="17"/>
      <c r="W53" s="30"/>
      <c r="X53" s="24"/>
      <c r="Y53" s="19"/>
    </row>
    <row r="54" spans="1:25" ht="0" customHeight="1" hidden="1">
      <c r="A54" s="28" t="s">
        <v>98</v>
      </c>
      <c r="B54" s="22"/>
      <c r="C54" s="24">
        <v>6000</v>
      </c>
      <c r="D54" s="24">
        <v>5700</v>
      </c>
      <c r="E54" s="24">
        <f>SUM(E55:E58)</f>
        <v>58232.8</v>
      </c>
      <c r="F54" s="23">
        <f t="shared" si="3"/>
        <v>107166.5</v>
      </c>
      <c r="G54" s="24">
        <f>SUM(G55:G58)</f>
        <v>74866.5</v>
      </c>
      <c r="H54" s="24">
        <f>SUM(H55:H58)</f>
        <v>32300</v>
      </c>
      <c r="I54" s="24">
        <f>SUM(I55:I58)</f>
        <v>0</v>
      </c>
      <c r="J54" s="24">
        <f>SUM(J55:J58)</f>
        <v>238304.3</v>
      </c>
      <c r="K54" s="24">
        <f t="shared" si="1"/>
        <v>80948</v>
      </c>
      <c r="L54" s="24">
        <f>SUM(L55:L58)</f>
        <v>80948</v>
      </c>
      <c r="M54" s="24">
        <f>SUM(M55:M58)</f>
        <v>0</v>
      </c>
      <c r="N54" s="24">
        <f>SUM(N55:N58)</f>
        <v>0</v>
      </c>
      <c r="O54" s="22" t="s">
        <v>99</v>
      </c>
      <c r="P54" s="25"/>
      <c r="Q54" s="26"/>
      <c r="R54" s="31"/>
      <c r="S54" s="99"/>
      <c r="T54" s="17" t="e">
        <f t="shared" si="2"/>
        <v>#DIV/0!</v>
      </c>
      <c r="U54" s="16">
        <f>J54/G54*100</f>
        <v>318.3056507249571</v>
      </c>
      <c r="V54" s="17">
        <f>L54/G54*100</f>
        <v>108.12312583064521</v>
      </c>
      <c r="W54" s="30"/>
      <c r="X54" s="24">
        <f>SUM(X55:X58)</f>
        <v>14368.2</v>
      </c>
      <c r="Y54" s="19">
        <f>L54/X54*100</f>
        <v>563.3830264055345</v>
      </c>
    </row>
    <row r="55" spans="1:25" ht="12.75" customHeight="1" hidden="1">
      <c r="A55" s="28" t="s">
        <v>100</v>
      </c>
      <c r="B55" s="22"/>
      <c r="C55" s="24"/>
      <c r="D55" s="24"/>
      <c r="E55" s="24">
        <v>45600</v>
      </c>
      <c r="F55" s="23">
        <f t="shared" si="3"/>
        <v>62143.5</v>
      </c>
      <c r="G55" s="34">
        <f>64227-2590+506.5</f>
        <v>62143.5</v>
      </c>
      <c r="H55" s="24"/>
      <c r="I55" s="24"/>
      <c r="J55" s="24">
        <v>224152.9</v>
      </c>
      <c r="K55" s="24">
        <f t="shared" si="1"/>
        <v>68280</v>
      </c>
      <c r="L55" s="24">
        <v>68280</v>
      </c>
      <c r="M55" s="24"/>
      <c r="N55" s="24"/>
      <c r="O55" s="22"/>
      <c r="P55" s="25"/>
      <c r="Q55" s="26"/>
      <c r="R55" s="31"/>
      <c r="S55" s="99"/>
      <c r="T55" s="17" t="e">
        <f t="shared" si="2"/>
        <v>#DIV/0!</v>
      </c>
      <c r="U55" s="16">
        <f>J55/G55*100</f>
        <v>360.7020846910779</v>
      </c>
      <c r="V55" s="17">
        <f>L55/G55*100</f>
        <v>109.87472543387481</v>
      </c>
      <c r="W55" s="30"/>
      <c r="X55" s="24">
        <v>3635.7</v>
      </c>
      <c r="Y55" s="19">
        <f>L55/X55*100</f>
        <v>1878.0427428005612</v>
      </c>
    </row>
    <row r="56" spans="1:25" ht="12.75" customHeight="1" hidden="1">
      <c r="A56" s="28" t="s">
        <v>101</v>
      </c>
      <c r="B56" s="22"/>
      <c r="C56" s="24"/>
      <c r="D56" s="24"/>
      <c r="E56" s="24"/>
      <c r="F56" s="23">
        <f t="shared" si="3"/>
        <v>1033</v>
      </c>
      <c r="G56" s="24">
        <v>1033</v>
      </c>
      <c r="H56" s="24"/>
      <c r="I56" s="24"/>
      <c r="J56" s="24"/>
      <c r="K56" s="24">
        <f t="shared" si="1"/>
        <v>0</v>
      </c>
      <c r="L56" s="24"/>
      <c r="M56" s="24"/>
      <c r="N56" s="24"/>
      <c r="O56" s="22"/>
      <c r="P56" s="25"/>
      <c r="Q56" s="26"/>
      <c r="R56" s="31"/>
      <c r="S56" s="99"/>
      <c r="T56" s="17" t="e">
        <f t="shared" si="2"/>
        <v>#DIV/0!</v>
      </c>
      <c r="U56" s="16">
        <f>J56/G56*100</f>
        <v>0</v>
      </c>
      <c r="V56" s="17">
        <f>L56/G56*100</f>
        <v>0</v>
      </c>
      <c r="W56" s="30"/>
      <c r="X56" s="24"/>
      <c r="Y56" s="19" t="e">
        <f>L56/X56*100</f>
        <v>#DIV/0!</v>
      </c>
    </row>
    <row r="57" spans="1:25" ht="11.25" customHeight="1" hidden="1">
      <c r="A57" s="28" t="s">
        <v>102</v>
      </c>
      <c r="B57" s="22"/>
      <c r="C57" s="24"/>
      <c r="D57" s="24"/>
      <c r="E57" s="24"/>
      <c r="F57" s="23">
        <f t="shared" si="3"/>
        <v>32300</v>
      </c>
      <c r="G57" s="24"/>
      <c r="H57" s="24">
        <v>32300</v>
      </c>
      <c r="I57" s="24"/>
      <c r="J57" s="24"/>
      <c r="K57" s="24">
        <f t="shared" si="1"/>
        <v>0</v>
      </c>
      <c r="L57" s="24"/>
      <c r="M57" s="24"/>
      <c r="N57" s="24"/>
      <c r="O57" s="22"/>
      <c r="P57" s="25"/>
      <c r="Q57" s="26"/>
      <c r="R57" s="31"/>
      <c r="S57" s="99"/>
      <c r="T57" s="17" t="e">
        <f t="shared" si="2"/>
        <v>#DIV/0!</v>
      </c>
      <c r="U57" s="16"/>
      <c r="V57" s="17"/>
      <c r="W57" s="30"/>
      <c r="X57" s="24">
        <v>4052.8</v>
      </c>
      <c r="Y57" s="19"/>
    </row>
    <row r="58" spans="1:25" ht="13.5" customHeight="1" hidden="1">
      <c r="A58" s="28" t="s">
        <v>103</v>
      </c>
      <c r="B58" s="22"/>
      <c r="C58" s="24"/>
      <c r="D58" s="24"/>
      <c r="E58" s="24">
        <v>12632.8</v>
      </c>
      <c r="F58" s="23">
        <f t="shared" si="3"/>
        <v>11690</v>
      </c>
      <c r="G58" s="24">
        <v>11690</v>
      </c>
      <c r="H58" s="24"/>
      <c r="I58" s="24"/>
      <c r="J58" s="24">
        <v>14151.4</v>
      </c>
      <c r="K58" s="24">
        <f t="shared" si="1"/>
        <v>12668</v>
      </c>
      <c r="L58" s="24">
        <v>12668</v>
      </c>
      <c r="M58" s="24"/>
      <c r="N58" s="24"/>
      <c r="O58" s="22"/>
      <c r="P58" s="25"/>
      <c r="Q58" s="26"/>
      <c r="R58" s="31"/>
      <c r="S58" s="99"/>
      <c r="T58" s="17" t="e">
        <f t="shared" si="2"/>
        <v>#DIV/0!</v>
      </c>
      <c r="U58" s="16">
        <f>J58/G58*100</f>
        <v>121.05560307955517</v>
      </c>
      <c r="V58" s="17">
        <f>L58/G58*100</f>
        <v>108.366124893071</v>
      </c>
      <c r="W58" s="30"/>
      <c r="X58" s="24">
        <v>6679.7</v>
      </c>
      <c r="Y58" s="19">
        <f>L58/X58*100</f>
        <v>189.64923574412026</v>
      </c>
    </row>
    <row r="59" spans="1:25" ht="15" customHeight="1" hidden="1">
      <c r="A59" s="9" t="s">
        <v>104</v>
      </c>
      <c r="B59" s="10" t="s">
        <v>105</v>
      </c>
      <c r="C59" s="24"/>
      <c r="D59" s="24"/>
      <c r="E59" s="11">
        <f aca="true" t="shared" si="10" ref="E59:N59">E61</f>
        <v>491.8</v>
      </c>
      <c r="F59" s="11">
        <f t="shared" si="10"/>
        <v>130</v>
      </c>
      <c r="G59" s="11">
        <f t="shared" si="10"/>
        <v>130</v>
      </c>
      <c r="H59" s="11">
        <f t="shared" si="10"/>
        <v>0</v>
      </c>
      <c r="I59" s="11">
        <f t="shared" si="10"/>
        <v>0</v>
      </c>
      <c r="J59" s="11">
        <f>J61</f>
        <v>930</v>
      </c>
      <c r="K59" s="11">
        <f t="shared" si="10"/>
        <v>140</v>
      </c>
      <c r="L59" s="11">
        <f t="shared" si="10"/>
        <v>140</v>
      </c>
      <c r="M59" s="11">
        <f t="shared" si="10"/>
        <v>0</v>
      </c>
      <c r="N59" s="11">
        <f t="shared" si="10"/>
        <v>0</v>
      </c>
      <c r="O59" s="10"/>
      <c r="P59" s="13"/>
      <c r="Q59" s="14"/>
      <c r="R59" s="15"/>
      <c r="S59" s="98"/>
      <c r="T59" s="17" t="e">
        <f t="shared" si="2"/>
        <v>#DIV/0!</v>
      </c>
      <c r="U59" s="16">
        <f>J59/G59*100</f>
        <v>715.3846153846155</v>
      </c>
      <c r="V59" s="17">
        <f>L59/G59*100</f>
        <v>107.6923076923077</v>
      </c>
      <c r="W59" s="30"/>
      <c r="X59" s="11">
        <f>X61</f>
        <v>0</v>
      </c>
      <c r="Y59" s="19"/>
    </row>
    <row r="60" spans="1:25" ht="12" customHeight="1" hidden="1">
      <c r="A60" s="28" t="s">
        <v>106</v>
      </c>
      <c r="B60" s="22" t="s">
        <v>107</v>
      </c>
      <c r="C60" s="24"/>
      <c r="D60" s="24"/>
      <c r="E60" s="11"/>
      <c r="F60" s="23">
        <f t="shared" si="3"/>
        <v>0</v>
      </c>
      <c r="G60" s="11"/>
      <c r="H60" s="11"/>
      <c r="I60" s="11"/>
      <c r="J60" s="11"/>
      <c r="K60" s="11"/>
      <c r="L60" s="11"/>
      <c r="M60" s="11"/>
      <c r="N60" s="11"/>
      <c r="O60" s="22" t="s">
        <v>107</v>
      </c>
      <c r="P60" s="25"/>
      <c r="Q60" s="26"/>
      <c r="R60" s="31"/>
      <c r="S60" s="99"/>
      <c r="T60" s="17" t="e">
        <f t="shared" si="2"/>
        <v>#DIV/0!</v>
      </c>
      <c r="U60" s="16"/>
      <c r="V60" s="17"/>
      <c r="W60" s="30"/>
      <c r="X60" s="11"/>
      <c r="Y60" s="19"/>
    </row>
    <row r="61" spans="1:25" ht="12" customHeight="1" hidden="1">
      <c r="A61" s="28" t="s">
        <v>108</v>
      </c>
      <c r="B61" s="22"/>
      <c r="C61" s="24"/>
      <c r="D61" s="24"/>
      <c r="E61" s="24">
        <v>491.8</v>
      </c>
      <c r="F61" s="23">
        <f t="shared" si="3"/>
        <v>130</v>
      </c>
      <c r="G61" s="24">
        <v>130</v>
      </c>
      <c r="H61" s="24"/>
      <c r="I61" s="24"/>
      <c r="J61" s="24">
        <v>930</v>
      </c>
      <c r="K61" s="24">
        <f t="shared" si="1"/>
        <v>140</v>
      </c>
      <c r="L61" s="24">
        <v>140</v>
      </c>
      <c r="M61" s="24"/>
      <c r="N61" s="24"/>
      <c r="O61" s="22" t="s">
        <v>109</v>
      </c>
      <c r="P61" s="25"/>
      <c r="Q61" s="26"/>
      <c r="R61" s="31"/>
      <c r="S61" s="99"/>
      <c r="T61" s="17" t="e">
        <f t="shared" si="2"/>
        <v>#DIV/0!</v>
      </c>
      <c r="U61" s="16">
        <f aca="true" t="shared" si="11" ref="U61:U69">J61/G61*100</f>
        <v>715.3846153846155</v>
      </c>
      <c r="V61" s="17">
        <f aca="true" t="shared" si="12" ref="V61:V69">L61/G61*100</f>
        <v>107.6923076923077</v>
      </c>
      <c r="W61" s="30"/>
      <c r="X61" s="24"/>
      <c r="Y61" s="19"/>
    </row>
    <row r="62" spans="1:25" ht="15" customHeight="1" hidden="1">
      <c r="A62" s="9" t="s">
        <v>110</v>
      </c>
      <c r="B62" s="10" t="s">
        <v>111</v>
      </c>
      <c r="C62" s="11">
        <f aca="true" t="shared" si="13" ref="C62:N62">SUM(C63:C66)</f>
        <v>868060</v>
      </c>
      <c r="D62" s="11">
        <f t="shared" si="13"/>
        <v>0</v>
      </c>
      <c r="E62" s="11">
        <f t="shared" si="13"/>
        <v>972144.5</v>
      </c>
      <c r="F62" s="11">
        <f t="shared" si="13"/>
        <v>939774.4</v>
      </c>
      <c r="G62" s="11">
        <f t="shared" si="13"/>
        <v>482904.39999999997</v>
      </c>
      <c r="H62" s="11">
        <f t="shared" si="13"/>
        <v>391088.5</v>
      </c>
      <c r="I62" s="11">
        <f t="shared" si="13"/>
        <v>65781.5</v>
      </c>
      <c r="J62" s="11">
        <f t="shared" si="13"/>
        <v>723596.9</v>
      </c>
      <c r="K62" s="11">
        <f t="shared" si="13"/>
        <v>1129931.1</v>
      </c>
      <c r="L62" s="11">
        <f t="shared" si="13"/>
        <v>582000</v>
      </c>
      <c r="M62" s="11">
        <f t="shared" si="13"/>
        <v>484038.6</v>
      </c>
      <c r="N62" s="11">
        <f t="shared" si="13"/>
        <v>63892.5</v>
      </c>
      <c r="O62" s="10"/>
      <c r="P62" s="13"/>
      <c r="Q62" s="14"/>
      <c r="R62" s="15"/>
      <c r="S62" s="98"/>
      <c r="T62" s="17" t="e">
        <f t="shared" si="2"/>
        <v>#DIV/0!</v>
      </c>
      <c r="U62" s="16">
        <f t="shared" si="11"/>
        <v>149.84268107724844</v>
      </c>
      <c r="V62" s="17">
        <f t="shared" si="12"/>
        <v>120.52074903438445</v>
      </c>
      <c r="W62" s="18" t="e">
        <f>L62/L94*100</f>
        <v>#REF!</v>
      </c>
      <c r="X62" s="11">
        <f>SUM(X63:X66)</f>
        <v>497109.89999999997</v>
      </c>
      <c r="Y62" s="19">
        <f aca="true" t="shared" si="14" ref="Y62:Y69">L62/X62*100</f>
        <v>117.07672689680895</v>
      </c>
    </row>
    <row r="63" spans="1:25" ht="15.75" customHeight="1" hidden="1">
      <c r="A63" s="28" t="s">
        <v>112</v>
      </c>
      <c r="B63" s="22"/>
      <c r="C63" s="24">
        <v>273586</v>
      </c>
      <c r="D63" s="24"/>
      <c r="E63" s="24">
        <v>297228</v>
      </c>
      <c r="F63" s="23">
        <f t="shared" si="3"/>
        <v>307666.6</v>
      </c>
      <c r="G63" s="24">
        <f>266621.4+3925.8</f>
        <v>270547.2</v>
      </c>
      <c r="H63" s="24">
        <f>148+151.1</f>
        <v>299.1</v>
      </c>
      <c r="I63" s="24">
        <v>36820.3</v>
      </c>
      <c r="J63" s="24">
        <v>378102.7</v>
      </c>
      <c r="K63" s="24">
        <f>L63+M63+N63</f>
        <v>365365.7</v>
      </c>
      <c r="L63" s="24">
        <v>322946</v>
      </c>
      <c r="M63" s="24"/>
      <c r="N63" s="24">
        <v>42419.7</v>
      </c>
      <c r="O63" s="22" t="s">
        <v>113</v>
      </c>
      <c r="P63" s="25"/>
      <c r="Q63" s="26"/>
      <c r="R63" s="31"/>
      <c r="S63" s="99"/>
      <c r="T63" s="17" t="e">
        <f t="shared" si="2"/>
        <v>#DIV/0!</v>
      </c>
      <c r="U63" s="16">
        <f t="shared" si="11"/>
        <v>139.75480064107114</v>
      </c>
      <c r="V63" s="17">
        <f t="shared" si="12"/>
        <v>119.36771106853075</v>
      </c>
      <c r="W63" s="30"/>
      <c r="X63" s="24">
        <v>144966.1</v>
      </c>
      <c r="Y63" s="19">
        <f t="shared" si="14"/>
        <v>222.7734622094407</v>
      </c>
    </row>
    <row r="64" spans="1:25" ht="15" customHeight="1" hidden="1">
      <c r="A64" s="28" t="s">
        <v>114</v>
      </c>
      <c r="B64" s="22"/>
      <c r="C64" s="24">
        <v>560216</v>
      </c>
      <c r="D64" s="24"/>
      <c r="E64" s="24">
        <v>630304.6</v>
      </c>
      <c r="F64" s="23">
        <f t="shared" si="3"/>
        <v>584069.1</v>
      </c>
      <c r="G64" s="24">
        <f>229015.3+1537.8-49348.1</f>
        <v>181204.99999999997</v>
      </c>
      <c r="H64" s="24">
        <f>388910.2+322</f>
        <v>389232.2</v>
      </c>
      <c r="I64" s="24">
        <f>19789.6+25-6182.7</f>
        <v>13631.899999999998</v>
      </c>
      <c r="J64" s="24">
        <v>303240.7</v>
      </c>
      <c r="K64" s="24">
        <f>L64+M64+N64</f>
        <v>717186.4</v>
      </c>
      <c r="L64" s="24">
        <v>221625</v>
      </c>
      <c r="M64" s="24">
        <f>10772.6+447892+24724</f>
        <v>483388.6</v>
      </c>
      <c r="N64" s="24">
        <f>13347.8-1175</f>
        <v>12172.8</v>
      </c>
      <c r="O64" s="22" t="s">
        <v>115</v>
      </c>
      <c r="P64" s="25"/>
      <c r="Q64" s="26"/>
      <c r="R64" s="31"/>
      <c r="S64" s="99"/>
      <c r="T64" s="17" t="e">
        <f t="shared" si="2"/>
        <v>#DIV/0!</v>
      </c>
      <c r="U64" s="16">
        <f t="shared" si="11"/>
        <v>167.34676195469223</v>
      </c>
      <c r="V64" s="17">
        <f t="shared" si="12"/>
        <v>122.30622775309735</v>
      </c>
      <c r="W64" s="30"/>
      <c r="X64" s="24">
        <v>322667</v>
      </c>
      <c r="Y64" s="19">
        <f t="shared" si="14"/>
        <v>68.68536292834409</v>
      </c>
    </row>
    <row r="65" spans="1:25" ht="16.5" customHeight="1" hidden="1">
      <c r="A65" s="28" t="s">
        <v>116</v>
      </c>
      <c r="B65" s="22"/>
      <c r="C65" s="24">
        <v>3320</v>
      </c>
      <c r="D65" s="24"/>
      <c r="E65" s="24">
        <v>13350</v>
      </c>
      <c r="F65" s="23">
        <f t="shared" si="3"/>
        <v>18884.4</v>
      </c>
      <c r="G65" s="24">
        <f>4600+170+100-2190.6</f>
        <v>2679.4</v>
      </c>
      <c r="H65" s="24">
        <v>1557.2</v>
      </c>
      <c r="I65" s="24">
        <f>15244.9-597.1</f>
        <v>14647.8</v>
      </c>
      <c r="J65" s="24">
        <v>4580</v>
      </c>
      <c r="K65" s="24">
        <f t="shared" si="1"/>
        <v>14030</v>
      </c>
      <c r="L65" s="24">
        <v>4080</v>
      </c>
      <c r="M65" s="24">
        <v>650</v>
      </c>
      <c r="N65" s="24">
        <v>9300</v>
      </c>
      <c r="O65" s="22" t="s">
        <v>117</v>
      </c>
      <c r="P65" s="25"/>
      <c r="Q65" s="26"/>
      <c r="R65" s="31"/>
      <c r="S65" s="99"/>
      <c r="T65" s="17" t="e">
        <f t="shared" si="2"/>
        <v>#DIV/0!</v>
      </c>
      <c r="U65" s="16">
        <f t="shared" si="11"/>
        <v>170.93379114727176</v>
      </c>
      <c r="V65" s="17">
        <f t="shared" si="12"/>
        <v>152.27289691722027</v>
      </c>
      <c r="W65" s="30"/>
      <c r="X65" s="24">
        <v>12560</v>
      </c>
      <c r="Y65" s="19">
        <f t="shared" si="14"/>
        <v>32.48407643312102</v>
      </c>
    </row>
    <row r="66" spans="1:25" ht="15.75" customHeight="1" hidden="1">
      <c r="A66" s="28" t="s">
        <v>118</v>
      </c>
      <c r="B66" s="22"/>
      <c r="C66" s="24">
        <v>30938</v>
      </c>
      <c r="D66" s="24"/>
      <c r="E66" s="24">
        <f>SUM(E68:E69)</f>
        <v>31261.9</v>
      </c>
      <c r="F66" s="23">
        <f t="shared" si="3"/>
        <v>29154.3</v>
      </c>
      <c r="G66" s="24">
        <f>SUM(G68:G69)</f>
        <v>28472.8</v>
      </c>
      <c r="H66" s="24">
        <f>SUM(H68:H69)</f>
        <v>0</v>
      </c>
      <c r="I66" s="24">
        <f>SUM(I68:I69)</f>
        <v>681.5</v>
      </c>
      <c r="J66" s="24">
        <f>SUM(J68:J69)</f>
        <v>37673.5</v>
      </c>
      <c r="K66" s="24">
        <f t="shared" si="1"/>
        <v>33349</v>
      </c>
      <c r="L66" s="24">
        <f>SUM(L68:L69)</f>
        <v>33349</v>
      </c>
      <c r="M66" s="24">
        <f>SUM(M68:M69)</f>
        <v>0</v>
      </c>
      <c r="N66" s="24">
        <f>SUM(N68:N69)</f>
        <v>0</v>
      </c>
      <c r="O66" s="22" t="s">
        <v>119</v>
      </c>
      <c r="P66" s="25"/>
      <c r="Q66" s="26"/>
      <c r="R66" s="31"/>
      <c r="S66" s="99"/>
      <c r="T66" s="17" t="e">
        <f t="shared" si="2"/>
        <v>#DIV/0!</v>
      </c>
      <c r="U66" s="16">
        <f t="shared" si="11"/>
        <v>132.3139979208227</v>
      </c>
      <c r="V66" s="17">
        <f t="shared" si="12"/>
        <v>117.1258183248574</v>
      </c>
      <c r="W66" s="30"/>
      <c r="X66" s="24">
        <f>SUM(X68:X69)</f>
        <v>16916.8</v>
      </c>
      <c r="Y66" s="19">
        <f t="shared" si="14"/>
        <v>197.13539203631893</v>
      </c>
    </row>
    <row r="67" spans="1:25" ht="34.5" customHeight="1">
      <c r="A67" s="28" t="s">
        <v>166</v>
      </c>
      <c r="B67" s="22"/>
      <c r="C67" s="24"/>
      <c r="D67" s="24"/>
      <c r="E67" s="24"/>
      <c r="F67" s="23"/>
      <c r="G67" s="24"/>
      <c r="H67" s="24"/>
      <c r="I67" s="24"/>
      <c r="J67" s="24"/>
      <c r="K67" s="24"/>
      <c r="L67" s="24"/>
      <c r="M67" s="24"/>
      <c r="N67" s="24"/>
      <c r="O67" s="22" t="s">
        <v>99</v>
      </c>
      <c r="P67" s="25"/>
      <c r="Q67" s="26"/>
      <c r="R67" s="31">
        <v>6920.87</v>
      </c>
      <c r="S67" s="99">
        <v>55.88</v>
      </c>
      <c r="T67" s="102">
        <f t="shared" si="2"/>
        <v>0.8074129408585915</v>
      </c>
      <c r="U67" s="16"/>
      <c r="V67" s="17"/>
      <c r="W67" s="30"/>
      <c r="X67" s="24"/>
      <c r="Y67" s="19"/>
    </row>
    <row r="68" spans="1:25" ht="17.25" customHeight="1">
      <c r="A68" s="80" t="s">
        <v>104</v>
      </c>
      <c r="B68" s="10" t="s">
        <v>105</v>
      </c>
      <c r="C68" s="24"/>
      <c r="D68" s="24"/>
      <c r="E68" s="24">
        <v>20082.2</v>
      </c>
      <c r="F68" s="23">
        <f t="shared" si="3"/>
        <v>17974.6</v>
      </c>
      <c r="G68" s="24">
        <f>17103.1+10.6+179.4</f>
        <v>17293.1</v>
      </c>
      <c r="H68" s="24"/>
      <c r="I68" s="24">
        <v>681.5</v>
      </c>
      <c r="J68" s="24">
        <v>23991.8</v>
      </c>
      <c r="K68" s="24">
        <f t="shared" si="1"/>
        <v>20317</v>
      </c>
      <c r="L68" s="24">
        <v>20317</v>
      </c>
      <c r="M68" s="24"/>
      <c r="N68" s="24"/>
      <c r="O68" s="22"/>
      <c r="P68" s="25"/>
      <c r="Q68" s="26"/>
      <c r="R68" s="15">
        <v>887.6</v>
      </c>
      <c r="S68" s="98">
        <v>0</v>
      </c>
      <c r="T68" s="17">
        <f t="shared" si="2"/>
        <v>0</v>
      </c>
      <c r="U68" s="16">
        <f t="shared" si="11"/>
        <v>138.7362589703408</v>
      </c>
      <c r="V68" s="17">
        <f t="shared" si="12"/>
        <v>117.48616500222633</v>
      </c>
      <c r="W68" s="30"/>
      <c r="X68" s="24">
        <v>9658.6</v>
      </c>
      <c r="Y68" s="19">
        <f t="shared" si="14"/>
        <v>210.35139668274905</v>
      </c>
    </row>
    <row r="69" spans="1:25" ht="27.75" customHeight="1">
      <c r="A69" s="33" t="s">
        <v>165</v>
      </c>
      <c r="B69" s="22"/>
      <c r="C69" s="24"/>
      <c r="D69" s="24"/>
      <c r="E69" s="24">
        <v>11179.7</v>
      </c>
      <c r="F69" s="23">
        <f t="shared" si="3"/>
        <v>11179.7</v>
      </c>
      <c r="G69" s="24">
        <v>11179.7</v>
      </c>
      <c r="H69" s="24"/>
      <c r="I69" s="24"/>
      <c r="J69" s="24">
        <v>13681.7</v>
      </c>
      <c r="K69" s="24">
        <f t="shared" si="1"/>
        <v>13032</v>
      </c>
      <c r="L69" s="24">
        <v>13032</v>
      </c>
      <c r="M69" s="24"/>
      <c r="N69" s="24"/>
      <c r="O69" s="22" t="s">
        <v>109</v>
      </c>
      <c r="P69" s="25"/>
      <c r="Q69" s="26"/>
      <c r="R69" s="31">
        <v>887.6</v>
      </c>
      <c r="S69" s="99">
        <v>0</v>
      </c>
      <c r="T69" s="102">
        <f t="shared" si="2"/>
        <v>0</v>
      </c>
      <c r="U69" s="16">
        <f t="shared" si="11"/>
        <v>122.37984919094428</v>
      </c>
      <c r="V69" s="17">
        <f t="shared" si="12"/>
        <v>116.5684231240552</v>
      </c>
      <c r="W69" s="30"/>
      <c r="X69" s="24">
        <v>7258.2</v>
      </c>
      <c r="Y69" s="19">
        <f t="shared" si="14"/>
        <v>179.5486484252294</v>
      </c>
    </row>
    <row r="70" spans="1:25" ht="18" customHeight="1">
      <c r="A70" s="9" t="s">
        <v>110</v>
      </c>
      <c r="B70" s="10" t="s">
        <v>111</v>
      </c>
      <c r="C70" s="11"/>
      <c r="D70" s="11"/>
      <c r="E70" s="11"/>
      <c r="F70" s="12"/>
      <c r="G70" s="11"/>
      <c r="H70" s="11"/>
      <c r="I70" s="11"/>
      <c r="J70" s="11"/>
      <c r="K70" s="11"/>
      <c r="L70" s="11"/>
      <c r="M70" s="11"/>
      <c r="N70" s="11"/>
      <c r="O70" s="10"/>
      <c r="P70" s="13">
        <v>20</v>
      </c>
      <c r="Q70" s="14" t="s">
        <v>120</v>
      </c>
      <c r="R70" s="15">
        <f>R71+R72</f>
        <v>107</v>
      </c>
      <c r="S70" s="98">
        <v>16</v>
      </c>
      <c r="T70" s="17">
        <f t="shared" si="2"/>
        <v>14.953271028037381</v>
      </c>
      <c r="U70" s="16"/>
      <c r="V70" s="17"/>
      <c r="W70" s="30"/>
      <c r="X70" s="24"/>
      <c r="Y70" s="19"/>
    </row>
    <row r="71" spans="1:25" ht="30" customHeight="1">
      <c r="A71" s="21" t="s">
        <v>121</v>
      </c>
      <c r="B71" s="10"/>
      <c r="C71" s="11"/>
      <c r="D71" s="11"/>
      <c r="E71" s="11"/>
      <c r="F71" s="12"/>
      <c r="G71" s="11"/>
      <c r="H71" s="11"/>
      <c r="I71" s="11"/>
      <c r="J71" s="11"/>
      <c r="K71" s="11"/>
      <c r="L71" s="11"/>
      <c r="M71" s="11"/>
      <c r="N71" s="11"/>
      <c r="O71" s="22" t="s">
        <v>122</v>
      </c>
      <c r="P71" s="13"/>
      <c r="Q71" s="14"/>
      <c r="R71" s="31">
        <v>57</v>
      </c>
      <c r="S71" s="99">
        <v>0</v>
      </c>
      <c r="T71" s="102">
        <f t="shared" si="2"/>
        <v>0</v>
      </c>
      <c r="U71" s="16"/>
      <c r="V71" s="17"/>
      <c r="W71" s="30"/>
      <c r="X71" s="24"/>
      <c r="Y71" s="19"/>
    </row>
    <row r="72" spans="1:25" ht="20.25" customHeight="1">
      <c r="A72" s="28" t="s">
        <v>123</v>
      </c>
      <c r="B72" s="22"/>
      <c r="C72" s="24"/>
      <c r="D72" s="24"/>
      <c r="E72" s="24"/>
      <c r="F72" s="23"/>
      <c r="G72" s="24"/>
      <c r="H72" s="24"/>
      <c r="I72" s="24"/>
      <c r="J72" s="24"/>
      <c r="K72" s="24"/>
      <c r="L72" s="24"/>
      <c r="M72" s="24"/>
      <c r="N72" s="24"/>
      <c r="O72" s="22" t="s">
        <v>117</v>
      </c>
      <c r="P72" s="25">
        <v>20</v>
      </c>
      <c r="Q72" s="26" t="s">
        <v>120</v>
      </c>
      <c r="R72" s="31">
        <v>50</v>
      </c>
      <c r="S72" s="99">
        <v>16</v>
      </c>
      <c r="T72" s="102">
        <f t="shared" si="2"/>
        <v>32</v>
      </c>
      <c r="U72" s="16"/>
      <c r="V72" s="17"/>
      <c r="W72" s="30"/>
      <c r="X72" s="24"/>
      <c r="Y72" s="19"/>
    </row>
    <row r="73" spans="1:25" ht="23.25" customHeight="1">
      <c r="A73" s="9" t="s">
        <v>124</v>
      </c>
      <c r="B73" s="10" t="s">
        <v>125</v>
      </c>
      <c r="C73" s="11">
        <f aca="true" t="shared" si="15" ref="C73:N73">SUM(C75:C77)</f>
        <v>2273</v>
      </c>
      <c r="D73" s="11">
        <f t="shared" si="15"/>
        <v>0</v>
      </c>
      <c r="E73" s="11">
        <f t="shared" si="15"/>
        <v>3527.3</v>
      </c>
      <c r="F73" s="11">
        <f t="shared" si="15"/>
        <v>3137.3</v>
      </c>
      <c r="G73" s="11">
        <f t="shared" si="15"/>
        <v>3137.3</v>
      </c>
      <c r="H73" s="11">
        <f t="shared" si="15"/>
        <v>0</v>
      </c>
      <c r="I73" s="11">
        <f t="shared" si="15"/>
        <v>0</v>
      </c>
      <c r="J73" s="11">
        <f t="shared" si="15"/>
        <v>3289</v>
      </c>
      <c r="K73" s="11">
        <f t="shared" si="15"/>
        <v>3120</v>
      </c>
      <c r="L73" s="11">
        <f t="shared" si="15"/>
        <v>3120</v>
      </c>
      <c r="M73" s="11">
        <f t="shared" si="15"/>
        <v>0</v>
      </c>
      <c r="N73" s="11">
        <f t="shared" si="15"/>
        <v>0</v>
      </c>
      <c r="O73" s="10"/>
      <c r="P73" s="13">
        <v>3350</v>
      </c>
      <c r="Q73" s="14" t="s">
        <v>126</v>
      </c>
      <c r="R73" s="15">
        <f>R74+R78</f>
        <v>8533.72</v>
      </c>
      <c r="S73" s="98">
        <v>1334.72</v>
      </c>
      <c r="T73" s="17">
        <f t="shared" si="2"/>
        <v>15.640541287972889</v>
      </c>
      <c r="U73" s="16">
        <f>J73/G73*100</f>
        <v>104.8353679915851</v>
      </c>
      <c r="V73" s="17">
        <f>L73/G73*100</f>
        <v>99.4485704268001</v>
      </c>
      <c r="W73" s="35" t="e">
        <f>L73/L94*100</f>
        <v>#REF!</v>
      </c>
      <c r="X73" s="11">
        <f>SUM(X75:X77)</f>
        <v>1570.6</v>
      </c>
      <c r="Y73" s="19">
        <f>L73/X73*100</f>
        <v>198.65019737679867</v>
      </c>
    </row>
    <row r="74" spans="1:25" ht="17.25" customHeight="1">
      <c r="A74" s="28" t="s">
        <v>127</v>
      </c>
      <c r="B74" s="22"/>
      <c r="C74" s="24">
        <v>4478</v>
      </c>
      <c r="D74" s="24"/>
      <c r="E74" s="24">
        <v>5358.2</v>
      </c>
      <c r="F74" s="23">
        <f>G74+H74+I74</f>
        <v>3072.6</v>
      </c>
      <c r="G74" s="24">
        <v>3072.6</v>
      </c>
      <c r="H74" s="24"/>
      <c r="I74" s="24"/>
      <c r="J74" s="24">
        <f>3106.5</f>
        <v>3106.5</v>
      </c>
      <c r="K74" s="24">
        <f>L74+M74+N74</f>
        <v>2700</v>
      </c>
      <c r="L74" s="24">
        <v>2700</v>
      </c>
      <c r="M74" s="24"/>
      <c r="N74" s="24"/>
      <c r="O74" s="22" t="s">
        <v>128</v>
      </c>
      <c r="P74" s="25">
        <v>3350</v>
      </c>
      <c r="Q74" s="26" t="s">
        <v>126</v>
      </c>
      <c r="R74" s="31">
        <v>8403.72</v>
      </c>
      <c r="S74" s="99">
        <v>1334.72</v>
      </c>
      <c r="T74" s="102">
        <f t="shared" si="2"/>
        <v>15.882490135321026</v>
      </c>
      <c r="U74" s="16"/>
      <c r="V74" s="17"/>
      <c r="W74" s="35"/>
      <c r="X74" s="11"/>
      <c r="Y74" s="19"/>
    </row>
    <row r="75" spans="1:25" ht="0" customHeight="1" hidden="1">
      <c r="A75" s="28" t="s">
        <v>129</v>
      </c>
      <c r="B75" s="22"/>
      <c r="C75" s="24">
        <v>400</v>
      </c>
      <c r="D75" s="24"/>
      <c r="E75" s="24">
        <v>400</v>
      </c>
      <c r="F75" s="23">
        <f t="shared" si="3"/>
        <v>400</v>
      </c>
      <c r="G75" s="24">
        <v>400</v>
      </c>
      <c r="H75" s="24"/>
      <c r="I75" s="24"/>
      <c r="J75" s="24">
        <f>100+400</f>
        <v>500</v>
      </c>
      <c r="K75" s="24">
        <f t="shared" si="1"/>
        <v>400</v>
      </c>
      <c r="L75" s="24">
        <v>400</v>
      </c>
      <c r="M75" s="24"/>
      <c r="N75" s="24"/>
      <c r="O75" s="22" t="s">
        <v>130</v>
      </c>
      <c r="P75" s="25"/>
      <c r="Q75" s="26"/>
      <c r="R75" s="31">
        <v>30</v>
      </c>
      <c r="S75" s="99"/>
      <c r="T75" s="17">
        <f t="shared" si="2"/>
        <v>0</v>
      </c>
      <c r="U75" s="16">
        <f>J75/G75*100</f>
        <v>125</v>
      </c>
      <c r="V75" s="17">
        <f>L75/G75*100</f>
        <v>100</v>
      </c>
      <c r="W75" s="30"/>
      <c r="X75" s="24">
        <v>275</v>
      </c>
      <c r="Y75" s="19">
        <f>L75/X75*100</f>
        <v>145.45454545454547</v>
      </c>
    </row>
    <row r="76" spans="1:25" ht="15.75" customHeight="1" hidden="1">
      <c r="A76" s="28" t="s">
        <v>131</v>
      </c>
      <c r="B76" s="22"/>
      <c r="C76" s="24">
        <v>480</v>
      </c>
      <c r="D76" s="24"/>
      <c r="E76" s="24">
        <v>480</v>
      </c>
      <c r="F76" s="23">
        <f t="shared" si="3"/>
        <v>480</v>
      </c>
      <c r="G76" s="24">
        <v>480</v>
      </c>
      <c r="H76" s="24"/>
      <c r="I76" s="24"/>
      <c r="J76" s="24">
        <f>50+500</f>
        <v>550</v>
      </c>
      <c r="K76" s="24">
        <f t="shared" si="1"/>
        <v>480</v>
      </c>
      <c r="L76" s="24">
        <v>480</v>
      </c>
      <c r="M76" s="24"/>
      <c r="N76" s="24"/>
      <c r="O76" s="22" t="s">
        <v>132</v>
      </c>
      <c r="P76" s="25"/>
      <c r="Q76" s="26"/>
      <c r="R76" s="31"/>
      <c r="S76" s="99"/>
      <c r="T76" s="17" t="e">
        <f t="shared" si="2"/>
        <v>#DIV/0!</v>
      </c>
      <c r="U76" s="16">
        <f>J76/G76*100</f>
        <v>114.58333333333333</v>
      </c>
      <c r="V76" s="17">
        <f>L76/G76*100</f>
        <v>100</v>
      </c>
      <c r="W76" s="30"/>
      <c r="X76" s="24">
        <v>313.3</v>
      </c>
      <c r="Y76" s="19">
        <f>L76/X76*100</f>
        <v>153.20778806255984</v>
      </c>
    </row>
    <row r="77" spans="1:25" ht="25.5" customHeight="1" hidden="1">
      <c r="A77" s="28" t="s">
        <v>133</v>
      </c>
      <c r="B77" s="22"/>
      <c r="C77" s="24">
        <v>1393</v>
      </c>
      <c r="D77" s="24"/>
      <c r="E77" s="24">
        <v>2647.3</v>
      </c>
      <c r="F77" s="23">
        <f t="shared" si="3"/>
        <v>2257.3</v>
      </c>
      <c r="G77" s="24">
        <v>2257.3</v>
      </c>
      <c r="H77" s="24"/>
      <c r="I77" s="24"/>
      <c r="J77" s="24">
        <v>2239</v>
      </c>
      <c r="K77" s="24">
        <f t="shared" si="1"/>
        <v>2240</v>
      </c>
      <c r="L77" s="24">
        <v>2240</v>
      </c>
      <c r="M77" s="24"/>
      <c r="N77" s="24"/>
      <c r="O77" s="22" t="s">
        <v>134</v>
      </c>
      <c r="P77" s="25"/>
      <c r="Q77" s="26"/>
      <c r="R77" s="31"/>
      <c r="S77" s="99"/>
      <c r="T77" s="17" t="e">
        <f t="shared" si="2"/>
        <v>#DIV/0!</v>
      </c>
      <c r="U77" s="16">
        <f>J77/G77*100</f>
        <v>99.18929694768084</v>
      </c>
      <c r="V77" s="17">
        <f>L77/G77*100</f>
        <v>99.23359766092233</v>
      </c>
      <c r="W77" s="30"/>
      <c r="X77" s="24">
        <v>982.3</v>
      </c>
      <c r="Y77" s="19">
        <f>L77/X77*100</f>
        <v>228.03624147409144</v>
      </c>
    </row>
    <row r="78" spans="1:25" ht="25.5" customHeight="1">
      <c r="A78" s="28" t="s">
        <v>168</v>
      </c>
      <c r="B78" s="22"/>
      <c r="C78" s="24"/>
      <c r="D78" s="24"/>
      <c r="E78" s="24"/>
      <c r="F78" s="23"/>
      <c r="G78" s="24"/>
      <c r="H78" s="24"/>
      <c r="I78" s="24"/>
      <c r="J78" s="24"/>
      <c r="K78" s="24"/>
      <c r="L78" s="24"/>
      <c r="M78" s="24"/>
      <c r="N78" s="24"/>
      <c r="O78" s="22" t="s">
        <v>167</v>
      </c>
      <c r="P78" s="25"/>
      <c r="Q78" s="26"/>
      <c r="R78" s="31">
        <v>130</v>
      </c>
      <c r="S78" s="99">
        <v>0</v>
      </c>
      <c r="T78" s="102">
        <f aca="true" t="shared" si="16" ref="T78:T94">S78/R78*100</f>
        <v>0</v>
      </c>
      <c r="U78" s="16"/>
      <c r="V78" s="17"/>
      <c r="W78" s="30"/>
      <c r="X78" s="24"/>
      <c r="Y78" s="19"/>
    </row>
    <row r="79" spans="1:25" ht="19.5" customHeight="1">
      <c r="A79" s="9" t="s">
        <v>135</v>
      </c>
      <c r="B79" s="10">
        <v>1000</v>
      </c>
      <c r="C79" s="11" t="e">
        <f>SUM(#REF!)</f>
        <v>#REF!</v>
      </c>
      <c r="D79" s="11" t="e">
        <f>SUM(#REF!)</f>
        <v>#REF!</v>
      </c>
      <c r="E79" s="11">
        <f aca="true" t="shared" si="17" ref="E79:N79">SUM(E81:E81)</f>
        <v>0</v>
      </c>
      <c r="F79" s="11">
        <f t="shared" si="17"/>
        <v>0</v>
      </c>
      <c r="G79" s="11">
        <f t="shared" si="17"/>
        <v>0</v>
      </c>
      <c r="H79" s="11">
        <f t="shared" si="17"/>
        <v>0</v>
      </c>
      <c r="I79" s="11">
        <f t="shared" si="17"/>
        <v>0</v>
      </c>
      <c r="J79" s="11">
        <f t="shared" si="17"/>
        <v>0</v>
      </c>
      <c r="K79" s="11">
        <f t="shared" si="17"/>
        <v>0</v>
      </c>
      <c r="L79" s="11">
        <f t="shared" si="17"/>
        <v>0</v>
      </c>
      <c r="M79" s="11">
        <f t="shared" si="17"/>
        <v>0</v>
      </c>
      <c r="N79" s="11">
        <f t="shared" si="17"/>
        <v>0</v>
      </c>
      <c r="O79" s="10"/>
      <c r="P79" s="13">
        <v>10</v>
      </c>
      <c r="Q79" s="14"/>
      <c r="R79" s="15">
        <v>302.6</v>
      </c>
      <c r="S79" s="98">
        <v>73.09</v>
      </c>
      <c r="T79" s="17">
        <f t="shared" si="16"/>
        <v>24.153998678122935</v>
      </c>
      <c r="U79" s="16"/>
      <c r="V79" s="17"/>
      <c r="W79" s="30"/>
      <c r="X79" s="24"/>
      <c r="Y79" s="19"/>
    </row>
    <row r="80" spans="1:25" ht="19.5" customHeight="1">
      <c r="A80" s="21" t="s">
        <v>136</v>
      </c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2" t="s">
        <v>137</v>
      </c>
      <c r="P80" s="13"/>
      <c r="Q80" s="14"/>
      <c r="R80" s="31">
        <v>302.6</v>
      </c>
      <c r="S80" s="99">
        <v>73.09</v>
      </c>
      <c r="T80" s="102">
        <f t="shared" si="16"/>
        <v>24.153998678122935</v>
      </c>
      <c r="U80" s="16"/>
      <c r="V80" s="17"/>
      <c r="W80" s="30"/>
      <c r="X80" s="24"/>
      <c r="Y80" s="19"/>
    </row>
    <row r="81" spans="1:25" ht="0.75" customHeight="1" hidden="1">
      <c r="A81" s="28" t="s">
        <v>138</v>
      </c>
      <c r="B81" s="22"/>
      <c r="C81" s="24"/>
      <c r="D81" s="24"/>
      <c r="E81" s="24"/>
      <c r="F81" s="23">
        <f aca="true" t="shared" si="18" ref="F81:F91">G81+H81+I81</f>
        <v>0</v>
      </c>
      <c r="G81" s="24"/>
      <c r="H81" s="24"/>
      <c r="I81" s="24"/>
      <c r="J81" s="24"/>
      <c r="K81" s="24"/>
      <c r="L81" s="24"/>
      <c r="M81" s="24"/>
      <c r="N81" s="24"/>
      <c r="O81" s="22" t="s">
        <v>139</v>
      </c>
      <c r="P81" s="25"/>
      <c r="Q81" s="26"/>
      <c r="R81" s="27"/>
      <c r="S81" s="99"/>
      <c r="T81" s="17" t="e">
        <f t="shared" si="16"/>
        <v>#DIV/0!</v>
      </c>
      <c r="U81" s="16" t="e">
        <f>J81/G81*100</f>
        <v>#DIV/0!</v>
      </c>
      <c r="V81" s="17"/>
      <c r="W81" s="30"/>
      <c r="X81" s="24"/>
      <c r="Y81" s="19"/>
    </row>
    <row r="82" spans="1:25" ht="0" customHeight="1" hidden="1">
      <c r="A82" s="28" t="s">
        <v>136</v>
      </c>
      <c r="B82" s="22"/>
      <c r="C82" s="24">
        <v>6460</v>
      </c>
      <c r="D82" s="24"/>
      <c r="E82" s="24">
        <v>5800</v>
      </c>
      <c r="F82" s="23">
        <f t="shared" si="18"/>
        <v>6300</v>
      </c>
      <c r="G82" s="24">
        <f>5800+500</f>
        <v>6300</v>
      </c>
      <c r="H82" s="24"/>
      <c r="I82" s="24"/>
      <c r="J82" s="24">
        <v>7180</v>
      </c>
      <c r="K82" s="24">
        <f t="shared" si="1"/>
        <v>7180</v>
      </c>
      <c r="L82" s="24">
        <v>7180</v>
      </c>
      <c r="M82" s="24"/>
      <c r="N82" s="24"/>
      <c r="O82" s="22">
        <v>1001</v>
      </c>
      <c r="P82" s="25">
        <v>10</v>
      </c>
      <c r="Q82" s="26"/>
      <c r="R82" s="27"/>
      <c r="S82" s="99"/>
      <c r="T82" s="17" t="e">
        <f t="shared" si="16"/>
        <v>#DIV/0!</v>
      </c>
      <c r="U82" s="16">
        <f>J82/G82*100</f>
        <v>113.96825396825396</v>
      </c>
      <c r="V82" s="17">
        <f>L82/G82*100</f>
        <v>113.96825396825396</v>
      </c>
      <c r="W82" s="30"/>
      <c r="X82" s="24">
        <v>3441.8</v>
      </c>
      <c r="Y82" s="19">
        <f aca="true" t="shared" si="19" ref="Y82:Y89">L82/X82*100</f>
        <v>208.6117729095241</v>
      </c>
    </row>
    <row r="83" spans="1:25" ht="15" customHeight="1" hidden="1">
      <c r="A83" s="28" t="s">
        <v>140</v>
      </c>
      <c r="B83" s="22"/>
      <c r="C83" s="24">
        <v>25317</v>
      </c>
      <c r="D83" s="24"/>
      <c r="E83" s="24">
        <v>32596</v>
      </c>
      <c r="F83" s="23">
        <f t="shared" si="18"/>
        <v>34309.3</v>
      </c>
      <c r="G83" s="24">
        <v>142</v>
      </c>
      <c r="H83" s="24">
        <v>30586</v>
      </c>
      <c r="I83" s="24">
        <f>3360.8+220.5</f>
        <v>3581.3</v>
      </c>
      <c r="J83" s="24">
        <v>417.6</v>
      </c>
      <c r="K83" s="24">
        <f t="shared" si="1"/>
        <v>42185</v>
      </c>
      <c r="L83" s="24">
        <v>417.6</v>
      </c>
      <c r="M83" s="24">
        <v>38249</v>
      </c>
      <c r="N83" s="24">
        <v>3518.4</v>
      </c>
      <c r="O83" s="22">
        <v>1002</v>
      </c>
      <c r="P83" s="25"/>
      <c r="Q83" s="26"/>
      <c r="R83" s="27"/>
      <c r="S83" s="99"/>
      <c r="T83" s="17" t="e">
        <f t="shared" si="16"/>
        <v>#DIV/0!</v>
      </c>
      <c r="U83" s="16">
        <f>J83/G83*100</f>
        <v>294.0845070422535</v>
      </c>
      <c r="V83" s="17"/>
      <c r="W83" s="30"/>
      <c r="X83" s="24">
        <v>14181.6</v>
      </c>
      <c r="Y83" s="19">
        <f t="shared" si="19"/>
        <v>2.944660687087494</v>
      </c>
    </row>
    <row r="84" spans="1:25" ht="14.25" customHeight="1" hidden="1">
      <c r="A84" s="28" t="s">
        <v>141</v>
      </c>
      <c r="B84" s="22"/>
      <c r="C84" s="24"/>
      <c r="D84" s="24"/>
      <c r="E84" s="24"/>
      <c r="F84" s="23">
        <f t="shared" si="18"/>
        <v>0</v>
      </c>
      <c r="G84" s="24"/>
      <c r="H84" s="24"/>
      <c r="I84" s="24"/>
      <c r="J84" s="24"/>
      <c r="K84" s="24">
        <f aca="true" t="shared" si="20" ref="K84:K89">L84+M84+N84</f>
        <v>0</v>
      </c>
      <c r="L84" s="24"/>
      <c r="M84" s="24"/>
      <c r="N84" s="24"/>
      <c r="O84" s="22" t="s">
        <v>142</v>
      </c>
      <c r="P84" s="25"/>
      <c r="Q84" s="26"/>
      <c r="R84" s="27"/>
      <c r="S84" s="99"/>
      <c r="T84" s="17" t="e">
        <f t="shared" si="16"/>
        <v>#DIV/0!</v>
      </c>
      <c r="U84" s="16" t="e">
        <f>J84/G84*100</f>
        <v>#DIV/0!</v>
      </c>
      <c r="V84" s="17" t="e">
        <f>L84/G84*100</f>
        <v>#DIV/0!</v>
      </c>
      <c r="W84" s="30"/>
      <c r="X84" s="24"/>
      <c r="Y84" s="19" t="e">
        <f t="shared" si="19"/>
        <v>#DIV/0!</v>
      </c>
    </row>
    <row r="85" spans="1:25" ht="0" customHeight="1" hidden="1">
      <c r="A85" s="28" t="s">
        <v>143</v>
      </c>
      <c r="B85" s="22"/>
      <c r="C85" s="24">
        <v>9420</v>
      </c>
      <c r="D85" s="24"/>
      <c r="E85" s="24">
        <v>10380</v>
      </c>
      <c r="F85" s="23">
        <f t="shared" si="18"/>
        <v>19459.4</v>
      </c>
      <c r="G85" s="24">
        <v>10380</v>
      </c>
      <c r="H85" s="24">
        <v>9079.4</v>
      </c>
      <c r="I85" s="24"/>
      <c r="J85" s="24"/>
      <c r="K85" s="24">
        <f t="shared" si="20"/>
        <v>17092</v>
      </c>
      <c r="L85" s="24"/>
      <c r="M85" s="24">
        <f>1008+14548+1536</f>
        <v>17092</v>
      </c>
      <c r="N85" s="24"/>
      <c r="O85" s="22">
        <v>1004</v>
      </c>
      <c r="P85" s="25"/>
      <c r="Q85" s="26"/>
      <c r="R85" s="27"/>
      <c r="S85" s="99"/>
      <c r="T85" s="17" t="e">
        <f t="shared" si="16"/>
        <v>#DIV/0!</v>
      </c>
      <c r="U85" s="16">
        <f>J85/G85*100</f>
        <v>0</v>
      </c>
      <c r="V85" s="17">
        <f>L85/G85*100</f>
        <v>0</v>
      </c>
      <c r="W85" s="30"/>
      <c r="X85" s="24">
        <v>6400.4</v>
      </c>
      <c r="Y85" s="19">
        <f t="shared" si="19"/>
        <v>0</v>
      </c>
    </row>
    <row r="86" spans="1:25" ht="15.75" customHeight="1" hidden="1">
      <c r="A86" s="28" t="s">
        <v>144</v>
      </c>
      <c r="B86" s="22"/>
      <c r="C86" s="24">
        <v>24435</v>
      </c>
      <c r="D86" s="24">
        <v>-4551</v>
      </c>
      <c r="E86" s="24">
        <v>18065</v>
      </c>
      <c r="F86" s="23">
        <f t="shared" si="18"/>
        <v>18065</v>
      </c>
      <c r="G86" s="24"/>
      <c r="H86" s="24">
        <v>18065</v>
      </c>
      <c r="I86" s="24"/>
      <c r="J86" s="24">
        <v>300</v>
      </c>
      <c r="K86" s="24">
        <f t="shared" si="20"/>
        <v>22492</v>
      </c>
      <c r="L86" s="24">
        <v>261</v>
      </c>
      <c r="M86" s="24">
        <v>22231</v>
      </c>
      <c r="N86" s="24"/>
      <c r="O86" s="22">
        <v>1006</v>
      </c>
      <c r="P86" s="25"/>
      <c r="Q86" s="26"/>
      <c r="R86" s="27"/>
      <c r="S86" s="99"/>
      <c r="T86" s="17" t="e">
        <f t="shared" si="16"/>
        <v>#DIV/0!</v>
      </c>
      <c r="U86" s="16"/>
      <c r="V86" s="17"/>
      <c r="W86" s="30"/>
      <c r="X86" s="24">
        <v>9504.4</v>
      </c>
      <c r="Y86" s="19">
        <f t="shared" si="19"/>
        <v>2.7460965447582173</v>
      </c>
    </row>
    <row r="87" spans="1:25" ht="24" customHeight="1" hidden="1">
      <c r="A87" s="28" t="s">
        <v>145</v>
      </c>
      <c r="B87" s="22" t="s">
        <v>146</v>
      </c>
      <c r="C87" s="24"/>
      <c r="D87" s="24"/>
      <c r="E87" s="24">
        <v>4600</v>
      </c>
      <c r="F87" s="23">
        <f t="shared" si="18"/>
        <v>7600</v>
      </c>
      <c r="G87" s="24">
        <v>7600</v>
      </c>
      <c r="H87" s="24"/>
      <c r="I87" s="24"/>
      <c r="J87" s="24">
        <v>5257</v>
      </c>
      <c r="K87" s="24">
        <f t="shared" si="20"/>
        <v>5200</v>
      </c>
      <c r="L87" s="24">
        <f>4600+600</f>
        <v>5200</v>
      </c>
      <c r="M87" s="24"/>
      <c r="N87" s="24"/>
      <c r="O87" s="22" t="s">
        <v>146</v>
      </c>
      <c r="P87" s="25"/>
      <c r="Q87" s="26"/>
      <c r="R87" s="27"/>
      <c r="S87" s="99"/>
      <c r="T87" s="17" t="e">
        <f t="shared" si="16"/>
        <v>#DIV/0!</v>
      </c>
      <c r="U87" s="16">
        <f>J87/G87*100</f>
        <v>69.17105263157895</v>
      </c>
      <c r="V87" s="17">
        <f>L87/G87*100</f>
        <v>68.42105263157895</v>
      </c>
      <c r="W87" s="30"/>
      <c r="X87" s="24">
        <v>3408.6</v>
      </c>
      <c r="Y87" s="19">
        <f t="shared" si="19"/>
        <v>152.55530129672005</v>
      </c>
    </row>
    <row r="88" spans="1:25" ht="18.75" customHeight="1">
      <c r="A88" s="9" t="s">
        <v>147</v>
      </c>
      <c r="B88" s="10" t="s">
        <v>148</v>
      </c>
      <c r="C88" s="11">
        <f aca="true" t="shared" si="21" ref="C88:N88">SUM(C89:C91)</f>
        <v>114339</v>
      </c>
      <c r="D88" s="11">
        <f t="shared" si="21"/>
        <v>0</v>
      </c>
      <c r="E88" s="11">
        <f t="shared" si="21"/>
        <v>178445</v>
      </c>
      <c r="F88" s="11">
        <f t="shared" si="21"/>
        <v>146408.2</v>
      </c>
      <c r="G88" s="11">
        <f t="shared" si="21"/>
        <v>146408.2</v>
      </c>
      <c r="H88" s="11">
        <f t="shared" si="21"/>
        <v>0</v>
      </c>
      <c r="I88" s="11">
        <f t="shared" si="21"/>
        <v>0</v>
      </c>
      <c r="J88" s="11">
        <f t="shared" si="21"/>
        <v>186361.5</v>
      </c>
      <c r="K88" s="11">
        <f t="shared" si="21"/>
        <v>185337.5</v>
      </c>
      <c r="L88" s="11">
        <f t="shared" si="21"/>
        <v>186361.5</v>
      </c>
      <c r="M88" s="11">
        <f t="shared" si="21"/>
        <v>0</v>
      </c>
      <c r="N88" s="11">
        <f t="shared" si="21"/>
        <v>0</v>
      </c>
      <c r="O88" s="10"/>
      <c r="P88" s="13">
        <v>70</v>
      </c>
      <c r="Q88" s="14"/>
      <c r="R88" s="15">
        <v>150</v>
      </c>
      <c r="S88" s="98">
        <v>4</v>
      </c>
      <c r="T88" s="17">
        <f t="shared" si="16"/>
        <v>2.666666666666667</v>
      </c>
      <c r="U88" s="16">
        <f>J88/G88*100</f>
        <v>127.28897698352961</v>
      </c>
      <c r="V88" s="17">
        <f>L88/G88*100</f>
        <v>127.28897698352961</v>
      </c>
      <c r="W88" s="18" t="e">
        <f>L88/L94*100</f>
        <v>#REF!</v>
      </c>
      <c r="X88" s="11">
        <f>SUM(X89:X92)</f>
        <v>39732.5</v>
      </c>
      <c r="Y88" s="19">
        <f t="shared" si="19"/>
        <v>469.04045806329833</v>
      </c>
    </row>
    <row r="89" spans="1:25" ht="2.25" customHeight="1" hidden="1">
      <c r="A89" s="28" t="s">
        <v>149</v>
      </c>
      <c r="B89" s="22"/>
      <c r="C89" s="24">
        <v>114339</v>
      </c>
      <c r="D89" s="24"/>
      <c r="E89" s="24">
        <v>178445</v>
      </c>
      <c r="F89" s="23">
        <f t="shared" si="18"/>
        <v>146408.2</v>
      </c>
      <c r="G89" s="24">
        <v>146408.2</v>
      </c>
      <c r="H89" s="24"/>
      <c r="I89" s="24"/>
      <c r="J89" s="24">
        <v>185337.5</v>
      </c>
      <c r="K89" s="24">
        <f t="shared" si="20"/>
        <v>185337.5</v>
      </c>
      <c r="L89" s="24">
        <f>185337.5</f>
        <v>185337.5</v>
      </c>
      <c r="M89" s="24"/>
      <c r="N89" s="24"/>
      <c r="O89" s="22" t="s">
        <v>150</v>
      </c>
      <c r="P89" s="25"/>
      <c r="Q89" s="26"/>
      <c r="R89" s="31"/>
      <c r="S89" s="99"/>
      <c r="T89" s="17" t="e">
        <f t="shared" si="16"/>
        <v>#DIV/0!</v>
      </c>
      <c r="U89" s="16">
        <f>J89/G89*100</f>
        <v>126.58956260646602</v>
      </c>
      <c r="V89" s="17">
        <f>L89/G89*100</f>
        <v>126.58956260646602</v>
      </c>
      <c r="W89" s="8"/>
      <c r="X89" s="24">
        <v>39732.5</v>
      </c>
      <c r="Y89" s="19">
        <f t="shared" si="19"/>
        <v>466.46322280249166</v>
      </c>
    </row>
    <row r="90" spans="1:25" ht="15.75" customHeight="1" hidden="1">
      <c r="A90" s="28" t="s">
        <v>151</v>
      </c>
      <c r="B90" s="22"/>
      <c r="C90" s="24"/>
      <c r="D90" s="24"/>
      <c r="E90" s="24"/>
      <c r="F90" s="23">
        <f t="shared" si="18"/>
        <v>0</v>
      </c>
      <c r="G90" s="24"/>
      <c r="H90" s="24"/>
      <c r="I90" s="24"/>
      <c r="J90" s="24"/>
      <c r="K90" s="24"/>
      <c r="L90" s="24"/>
      <c r="M90" s="24"/>
      <c r="N90" s="24"/>
      <c r="O90" s="22" t="s">
        <v>152</v>
      </c>
      <c r="P90" s="25"/>
      <c r="Q90" s="26"/>
      <c r="R90" s="31"/>
      <c r="S90" s="99"/>
      <c r="T90" s="17" t="e">
        <f t="shared" si="16"/>
        <v>#DIV/0!</v>
      </c>
      <c r="U90" s="16"/>
      <c r="V90" s="17"/>
      <c r="W90" s="8"/>
      <c r="X90" s="24"/>
      <c r="Y90" s="19"/>
    </row>
    <row r="91" spans="1:25" ht="16.5" customHeight="1" hidden="1">
      <c r="A91" s="28" t="s">
        <v>153</v>
      </c>
      <c r="B91" s="22"/>
      <c r="C91" s="24"/>
      <c r="D91" s="24"/>
      <c r="E91" s="24"/>
      <c r="F91" s="23">
        <f t="shared" si="18"/>
        <v>0</v>
      </c>
      <c r="G91" s="24"/>
      <c r="H91" s="24"/>
      <c r="I91" s="24"/>
      <c r="J91" s="24">
        <v>1024</v>
      </c>
      <c r="K91" s="24"/>
      <c r="L91" s="24">
        <v>1024</v>
      </c>
      <c r="M91" s="24"/>
      <c r="N91" s="24"/>
      <c r="O91" s="22" t="s">
        <v>154</v>
      </c>
      <c r="P91" s="25"/>
      <c r="Q91" s="26"/>
      <c r="R91" s="31"/>
      <c r="S91" s="99"/>
      <c r="T91" s="17" t="e">
        <f t="shared" si="16"/>
        <v>#DIV/0!</v>
      </c>
      <c r="U91" s="16" t="e">
        <f>J91/G91*100</f>
        <v>#DIV/0!</v>
      </c>
      <c r="V91" s="17"/>
      <c r="W91" s="8"/>
      <c r="X91" s="24"/>
      <c r="Y91" s="19"/>
    </row>
    <row r="92" spans="1:25" ht="18" customHeight="1">
      <c r="A92" s="28" t="s">
        <v>155</v>
      </c>
      <c r="B92" s="22"/>
      <c r="C92" s="24"/>
      <c r="D92" s="24"/>
      <c r="E92" s="24"/>
      <c r="F92" s="23"/>
      <c r="G92" s="24"/>
      <c r="H92" s="24"/>
      <c r="I92" s="24"/>
      <c r="J92" s="24"/>
      <c r="K92" s="24"/>
      <c r="L92" s="24"/>
      <c r="M92" s="24"/>
      <c r="N92" s="24"/>
      <c r="O92" s="22" t="s">
        <v>152</v>
      </c>
      <c r="P92" s="25">
        <v>70</v>
      </c>
      <c r="Q92" s="26"/>
      <c r="R92" s="31">
        <v>150</v>
      </c>
      <c r="S92" s="99">
        <v>4</v>
      </c>
      <c r="T92" s="102">
        <f t="shared" si="16"/>
        <v>2.666666666666667</v>
      </c>
      <c r="U92" s="16" t="e">
        <f>J92/G92*100</f>
        <v>#DIV/0!</v>
      </c>
      <c r="V92" s="17" t="e">
        <f>L92/G92*100</f>
        <v>#DIV/0!</v>
      </c>
      <c r="W92" s="8"/>
      <c r="X92" s="24"/>
      <c r="Y92" s="19"/>
    </row>
    <row r="93" spans="1:25" ht="0" customHeight="1" hidden="1">
      <c r="A93" s="36" t="s">
        <v>156</v>
      </c>
      <c r="B93" s="37"/>
      <c r="C93" s="38"/>
      <c r="D93" s="38"/>
      <c r="E93" s="38"/>
      <c r="F93" s="39"/>
      <c r="G93" s="38"/>
      <c r="H93" s="38"/>
      <c r="I93" s="38"/>
      <c r="J93" s="38"/>
      <c r="K93" s="38"/>
      <c r="L93" s="38"/>
      <c r="M93" s="38"/>
      <c r="N93" s="38"/>
      <c r="O93" s="37" t="s">
        <v>157</v>
      </c>
      <c r="P93" s="40"/>
      <c r="Q93" s="41"/>
      <c r="R93" s="42"/>
      <c r="S93" s="100"/>
      <c r="T93" s="17" t="e">
        <f t="shared" si="16"/>
        <v>#DIV/0!</v>
      </c>
      <c r="U93" s="16"/>
      <c r="V93" s="17"/>
      <c r="W93" s="8"/>
      <c r="X93" s="24"/>
      <c r="Y93" s="19"/>
    </row>
    <row r="94" spans="1:26" ht="21.75" customHeight="1" thickBot="1">
      <c r="A94" s="43" t="s">
        <v>158</v>
      </c>
      <c r="B94" s="44"/>
      <c r="C94" s="45" t="e">
        <f>SUM(C13+C34+C39+C50+C62+C73+#REF!+#REF!+C88)</f>
        <v>#REF!</v>
      </c>
      <c r="D94" s="45" t="e">
        <f>SUM(D13+D34+D39+D50+D62+D73+#REF!+#REF!+D88)</f>
        <v>#REF!</v>
      </c>
      <c r="E94" s="46" t="e">
        <f>SUM(E13+E34+E39+E50+E59+E62+E73+#REF!+#REF!+E88)</f>
        <v>#REF!</v>
      </c>
      <c r="F94" s="46" t="e">
        <f>SUM(F13+F34+F39+F50+F59+F62+F73+#REF!+#REF!+F88)</f>
        <v>#REF!</v>
      </c>
      <c r="G94" s="46" t="e">
        <f>SUM(G13+G34+G39+G50+G59+G62+G73+#REF!+#REF!+G88)</f>
        <v>#REF!</v>
      </c>
      <c r="H94" s="46" t="e">
        <f>SUM(H13+H34+H39+H50+H59+H62+H73+#REF!+#REF!+H88)</f>
        <v>#REF!</v>
      </c>
      <c r="I94" s="46" t="e">
        <f>SUM(I13+I34+I39+I50+I59+I62+I73+#REF!+#REF!+I88)</f>
        <v>#REF!</v>
      </c>
      <c r="J94" s="46" t="e">
        <f>SUM(J13+J34+J39+J50+J59+J62+J73+#REF!+#REF!+J88)</f>
        <v>#REF!</v>
      </c>
      <c r="K94" s="46" t="e">
        <f>SUM(K13+K34+K39+K50+K59+K62+K73+#REF!+#REF!+K88)</f>
        <v>#REF!</v>
      </c>
      <c r="L94" s="46" t="e">
        <f>SUM(L13+L34+L39+L50+L59+L62+L73+#REF!+#REF!+L88)</f>
        <v>#REF!</v>
      </c>
      <c r="M94" s="46" t="e">
        <f>SUM(M13+M34+M39+M50+M59+M62+M73+#REF!+#REF!+M88)</f>
        <v>#REF!</v>
      </c>
      <c r="N94" s="46" t="e">
        <f>SUM(N13+N34+N39+N50+N59+N62+N73+#REF!+#REF!+N88)</f>
        <v>#REF!</v>
      </c>
      <c r="O94" s="44"/>
      <c r="P94" s="47">
        <v>18086</v>
      </c>
      <c r="Q94" s="48">
        <v>209.459</v>
      </c>
      <c r="R94" s="49">
        <f>R13+R30+R34+R39+R50+R68+R70+R73+R79+R88</f>
        <v>66666.43</v>
      </c>
      <c r="S94" s="101">
        <f>S13+S30+S34+S39+S50+S68+S70+S73+S79+S88</f>
        <v>6705.900000000001</v>
      </c>
      <c r="T94" s="17">
        <f t="shared" si="16"/>
        <v>10.058885709044269</v>
      </c>
      <c r="U94" s="16" t="e">
        <f>J94/G94*100</f>
        <v>#REF!</v>
      </c>
      <c r="V94" s="17" t="e">
        <f>L94/G94*100</f>
        <v>#REF!</v>
      </c>
      <c r="W94" s="50" t="e">
        <f>SUM(W13:W89)</f>
        <v>#REF!</v>
      </c>
      <c r="X94" s="12" t="e">
        <f>SUM(X13+X34+X39+X50+X59+X62+X73+#REF!+#REF!+X88)</f>
        <v>#REF!</v>
      </c>
      <c r="Y94" s="19" t="e">
        <f>L94/X94*100</f>
        <v>#REF!</v>
      </c>
      <c r="Z94" s="20"/>
    </row>
    <row r="95" spans="1:25" ht="13.5" customHeight="1" hidden="1">
      <c r="A95" s="51" t="s">
        <v>159</v>
      </c>
      <c r="B95" s="52"/>
      <c r="C95" s="53"/>
      <c r="D95" s="53"/>
      <c r="E95" s="54">
        <v>0</v>
      </c>
      <c r="F95" s="55">
        <f>-43123.7-16350</f>
        <v>-59473.7</v>
      </c>
      <c r="G95" s="53"/>
      <c r="H95" s="53"/>
      <c r="I95" s="53"/>
      <c r="J95" s="54">
        <v>0</v>
      </c>
      <c r="K95" s="56">
        <v>0</v>
      </c>
      <c r="L95" s="54">
        <v>63802.8</v>
      </c>
      <c r="M95" s="54">
        <v>0</v>
      </c>
      <c r="N95" s="54">
        <v>0</v>
      </c>
      <c r="O95" s="52"/>
      <c r="P95" s="52"/>
      <c r="Q95" s="52"/>
      <c r="R95" s="52"/>
      <c r="S95" s="52"/>
      <c r="T95" s="52"/>
      <c r="U95" s="57"/>
      <c r="V95" s="58"/>
      <c r="W95" s="59"/>
      <c r="X95" s="60">
        <v>76369.2</v>
      </c>
      <c r="Y95" s="61"/>
    </row>
    <row r="96" spans="1:24" s="71" customFormat="1" ht="12.75" customHeight="1" hidden="1">
      <c r="A96" s="62" t="s">
        <v>160</v>
      </c>
      <c r="B96" s="63"/>
      <c r="C96" s="64"/>
      <c r="D96" s="64"/>
      <c r="E96" s="64"/>
      <c r="F96" s="64"/>
      <c r="G96" s="64"/>
      <c r="H96" s="64"/>
      <c r="I96" s="64"/>
      <c r="J96" s="65"/>
      <c r="K96" s="64"/>
      <c r="L96" s="66">
        <v>1193121.2</v>
      </c>
      <c r="M96" s="67">
        <v>1131115</v>
      </c>
      <c r="N96" s="67">
        <v>113200</v>
      </c>
      <c r="O96" s="63"/>
      <c r="P96" s="63"/>
      <c r="Q96" s="63"/>
      <c r="R96" s="63"/>
      <c r="S96" s="63"/>
      <c r="T96" s="63"/>
      <c r="U96" s="65"/>
      <c r="V96" s="68"/>
      <c r="W96" s="69"/>
      <c r="X96" s="70"/>
    </row>
    <row r="97" ht="7.5" customHeight="1">
      <c r="L97" s="72"/>
    </row>
    <row r="98" spans="1:20" ht="12.75" customHeight="1">
      <c r="A98" s="73"/>
      <c r="B98" s="7"/>
      <c r="C98" s="2"/>
      <c r="D98" s="2"/>
      <c r="E98" s="2"/>
      <c r="F98" t="s">
        <v>161</v>
      </c>
      <c r="G98">
        <f>728.2</f>
        <v>728.2</v>
      </c>
      <c r="J98" s="72"/>
      <c r="L98" s="74" t="e">
        <f>L96-L94</f>
        <v>#REF!</v>
      </c>
      <c r="N98" s="75" t="e">
        <f>N96-N94</f>
        <v>#REF!</v>
      </c>
      <c r="O98" s="7"/>
      <c r="P98" s="7"/>
      <c r="Q98" s="7"/>
      <c r="R98" s="7"/>
      <c r="S98" s="7"/>
      <c r="T98" s="7"/>
    </row>
    <row r="99" spans="1:20" ht="15" customHeight="1">
      <c r="A99" s="5"/>
      <c r="B99" s="7"/>
      <c r="C99" s="2"/>
      <c r="D99" s="2"/>
      <c r="E99" s="2"/>
      <c r="F99" t="s">
        <v>162</v>
      </c>
      <c r="G99" s="76">
        <f>2132.8</f>
        <v>2132.8</v>
      </c>
      <c r="M99" s="71"/>
      <c r="O99" s="7"/>
      <c r="P99" s="7"/>
      <c r="Q99" s="7"/>
      <c r="R99" s="7"/>
      <c r="S99" s="7"/>
      <c r="T99" s="7"/>
    </row>
    <row r="100" spans="1:20" ht="15" customHeight="1">
      <c r="A100" s="5"/>
      <c r="B100" s="7"/>
      <c r="C100" s="2"/>
      <c r="D100" s="2"/>
      <c r="E100" s="2"/>
      <c r="F100" t="s">
        <v>163</v>
      </c>
      <c r="G100" s="76">
        <v>99705</v>
      </c>
      <c r="M100" s="71"/>
      <c r="O100" s="7"/>
      <c r="P100" s="7"/>
      <c r="Q100" s="7"/>
      <c r="R100" s="7"/>
      <c r="S100" s="7"/>
      <c r="T100" s="7"/>
    </row>
    <row r="101" spans="1:20" ht="15" customHeight="1">
      <c r="A101" s="77"/>
      <c r="B101" s="7"/>
      <c r="C101" s="2"/>
      <c r="D101" s="2"/>
      <c r="E101" s="2"/>
      <c r="F101" t="s">
        <v>164</v>
      </c>
      <c r="G101" s="76">
        <v>19806.2</v>
      </c>
      <c r="J101" s="72"/>
      <c r="L101" s="72"/>
      <c r="M101" s="71"/>
      <c r="O101" s="7"/>
      <c r="P101" s="7"/>
      <c r="Q101" s="7"/>
      <c r="R101" s="7"/>
      <c r="S101" s="7"/>
      <c r="T101" s="7"/>
    </row>
    <row r="102" spans="1:20" ht="15" customHeight="1">
      <c r="A102" s="78"/>
      <c r="B102" s="7"/>
      <c r="C102" s="2"/>
      <c r="D102" s="2"/>
      <c r="E102" s="2"/>
      <c r="G102" s="75" t="e">
        <f>G94+G98+G99+G100+G101</f>
        <v>#REF!</v>
      </c>
      <c r="O102" s="7"/>
      <c r="P102" s="7"/>
      <c r="Q102" s="7"/>
      <c r="R102" s="7"/>
      <c r="S102" s="7"/>
      <c r="T102" s="7"/>
    </row>
    <row r="103" spans="1:20" ht="12.75" customHeight="1">
      <c r="A103" s="79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2.75" customHeight="1">
      <c r="A104" s="79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2:20" ht="12.75"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ht="13.5">
      <c r="A106" s="79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3.5">
      <c r="A107" s="78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ht="13.5">
      <c r="A108" s="79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ht="13.5">
      <c r="A109" s="79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 ht="12.75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ht="13.5">
      <c r="A111" s="79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 ht="12.75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 ht="12.75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 ht="12.75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 ht="12.75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 ht="12.75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 ht="12.75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 ht="12.75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 ht="12.75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 ht="12.75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 ht="12.75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 ht="12.75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 ht="12.75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 ht="12.75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 ht="12.75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 ht="12.75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 ht="12.75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 ht="12.75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 ht="12.75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 ht="12.75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 ht="12.75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 ht="12.75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 ht="12.75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 ht="12.75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 ht="12.75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 ht="12.75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 ht="12.75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 ht="12.75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 ht="12.75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 ht="12.75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 ht="12.75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 ht="12.75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 ht="12.75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 ht="12.75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 ht="12.75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 ht="12.75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 ht="12.75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 ht="12.75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 ht="12.75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 ht="12.75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 ht="12.75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 ht="12.75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 ht="12.75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 ht="12.75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 ht="12.75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 ht="12.75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 ht="12.75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 ht="12.75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 ht="12.75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 ht="12.75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 ht="12.75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 ht="12.75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 ht="12.75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 ht="12.75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 ht="12.75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 ht="12.75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 ht="12.75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 ht="12.75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 ht="12.75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 ht="12.75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 ht="12.75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 ht="12.75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  <row r="173" spans="1:20" ht="12.75">
      <c r="A173" s="2"/>
      <c r="B173" s="7"/>
      <c r="C173" s="2"/>
      <c r="D173" s="2"/>
      <c r="E173" s="2"/>
      <c r="O173" s="7"/>
      <c r="P173" s="7"/>
      <c r="Q173" s="7"/>
      <c r="R173" s="7"/>
      <c r="S173" s="7"/>
      <c r="T173" s="7"/>
    </row>
    <row r="174" spans="1:20" ht="12.75">
      <c r="A174" s="2"/>
      <c r="B174" s="7"/>
      <c r="C174" s="2"/>
      <c r="D174" s="2"/>
      <c r="E174" s="2"/>
      <c r="O174" s="7"/>
      <c r="P174" s="7"/>
      <c r="Q174" s="7"/>
      <c r="R174" s="7"/>
      <c r="S174" s="7"/>
      <c r="T174" s="7"/>
    </row>
    <row r="175" spans="1:20" ht="12.75">
      <c r="A175" s="2"/>
      <c r="B175" s="7"/>
      <c r="C175" s="2"/>
      <c r="D175" s="2"/>
      <c r="E175" s="2"/>
      <c r="O175" s="7"/>
      <c r="P175" s="7"/>
      <c r="Q175" s="7"/>
      <c r="R175" s="7"/>
      <c r="S175" s="7"/>
      <c r="T175" s="7"/>
    </row>
    <row r="176" spans="1:20" ht="12.75">
      <c r="A176" s="2"/>
      <c r="B176" s="7"/>
      <c r="C176" s="2"/>
      <c r="D176" s="2"/>
      <c r="E176" s="2"/>
      <c r="O176" s="7"/>
      <c r="P176" s="7"/>
      <c r="Q176" s="7"/>
      <c r="R176" s="7"/>
      <c r="S176" s="7"/>
      <c r="T176" s="7"/>
    </row>
    <row r="177" spans="1:20" ht="12.75">
      <c r="A177" s="2"/>
      <c r="B177" s="7"/>
      <c r="C177" s="2"/>
      <c r="D177" s="2"/>
      <c r="E177" s="2"/>
      <c r="O177" s="7"/>
      <c r="P177" s="7"/>
      <c r="Q177" s="7"/>
      <c r="R177" s="7"/>
      <c r="S177" s="7"/>
      <c r="T177" s="7"/>
    </row>
    <row r="178" spans="1:20" ht="12.75">
      <c r="A178" s="2"/>
      <c r="B178" s="7"/>
      <c r="C178" s="2"/>
      <c r="D178" s="2"/>
      <c r="E178" s="2"/>
      <c r="O178" s="7"/>
      <c r="P178" s="7"/>
      <c r="Q178" s="7"/>
      <c r="R178" s="7"/>
      <c r="S178" s="7"/>
      <c r="T178" s="7"/>
    </row>
  </sheetData>
  <sheetProtection selectLockedCells="1" selectUnlockedCells="1"/>
  <mergeCells count="32">
    <mergeCell ref="R10:R12"/>
    <mergeCell ref="S10:S12"/>
    <mergeCell ref="J10:J12"/>
    <mergeCell ref="K10:K12"/>
    <mergeCell ref="L10:N10"/>
    <mergeCell ref="O10:O12"/>
    <mergeCell ref="B1:T1"/>
    <mergeCell ref="B2:T2"/>
    <mergeCell ref="B3:T3"/>
    <mergeCell ref="B4:T4"/>
    <mergeCell ref="B5:T5"/>
    <mergeCell ref="A8:X8"/>
    <mergeCell ref="T10:T12"/>
    <mergeCell ref="U10:U12"/>
    <mergeCell ref="V10:V12"/>
    <mergeCell ref="W10:W12"/>
    <mergeCell ref="A9:X9"/>
    <mergeCell ref="A10:A12"/>
    <mergeCell ref="B10:B12"/>
    <mergeCell ref="C10:E12"/>
    <mergeCell ref="F10:F12"/>
    <mergeCell ref="G10:I10"/>
    <mergeCell ref="X10:X12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5902777777777778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2021-05-02T13:13:15Z</cp:lastPrinted>
  <dcterms:modified xsi:type="dcterms:W3CDTF">2021-05-02T13:13:36Z</dcterms:modified>
  <cp:category/>
  <cp:version/>
  <cp:contentType/>
  <cp:contentStatus/>
</cp:coreProperties>
</file>