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<sst xmlns="http://schemas.openxmlformats.org/spreadsheetml/2006/main" count="220" uniqueCount="190">
  <si>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</si>
  <si>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</si>
  <si>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</si>
  <si>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</si>
  <si>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</si>
  <si>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</si>
  <si>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</si>
  <si>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</si>
  <si>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</si>
  <si>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</si>
  <si>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</si>
  <si>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</si>
  <si>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</si>
  <si>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</si>
  <si>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</si>
  <si>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</si>
  <si>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</si>
  <si>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</si>
  <si>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</si>
  <si>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</si>
  <si>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</si>
  <si>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</si>
  <si>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</si>
  <si>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</si>
  <si>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</si>
  <si>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</si>
  <si>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</si>
  <si>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</si>
  <si>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</si>
  <si>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</si>
  <si>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</si>
  <si>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</si>
  <si>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</si>
  <si>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</si>
  <si>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</si>
  <si>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</si>
  <si>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</si>
  <si>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</si>
  <si>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</si>
  <si>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</si>
  <si>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</si>
  <si>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</si>
  <si>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</si>
  <si>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</si>
  <si>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</si>
  <si>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</si>
  <si>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</si>
  <si>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</si>
  <si>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</si>
  <si>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</si>
  <si>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</si>
  <si>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</si>
  <si>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</si>
  <si>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</si>
  <si>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</si>
  <si>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</si>
  <si>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</si>
  <si>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</si>
  <si>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</si>
  <si>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</si>
  <si>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</si>
  <si>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</si>
  <si>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</si>
  <si>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</si>
  <si>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</si>
  <si>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</si>
  <si>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</si>
  <si>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</si>
  <si>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</si>
  <si>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</si>
  <si>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</si>
  <si>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</si>
  <si>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</si>
  <si>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</si>
  <si>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</si>
  <si>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</si>
  <si>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</si>
  <si>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</si>
  <si>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</si>
  <si>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</si>
  <si>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</si>
  <si>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</si>
  <si>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</si>
  <si>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</si>
  <si>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</si>
  <si>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</si>
  <si>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</si>
  <si>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</si>
  <si>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</si>
  <si>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</si>
  <si>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</si>
  <si>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</si>
  <si>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</si>
  <si>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</si>
  <si>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</si>
  <si>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</si>
  <si>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</si>
  <si>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</si>
  <si>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</si>
  <si>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</si>
  <si>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</si>
  <si>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</si>
  <si>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</si>
  <si>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</si>
  <si>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</si>
  <si>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</si>
  <si>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</si>
  <si>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</si>
  <si>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</si>
  <si>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</si>
  <si>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</si>
  <si>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</si>
  <si>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</si>
  <si>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</si>
  <si>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</si>
  <si>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</si>
  <si>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</si>
  <si>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</si>
  <si>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</si>
  <si>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</si>
  <si>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</si>
  <si>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</si>
  <si>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</si>
  <si>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</si>
  <si>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</si>
  <si>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</si>
  <si>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</si>
  <si>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</si>
  <si>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</si>
  <si>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</si>
  <si>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</si>
  <si>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</si>
  <si>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</si>
  <si>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</si>
  <si>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</si>
  <si>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</si>
  <si>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</si>
  <si>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</si>
  <si>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</si>
  <si>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</si>
  <si>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</si>
  <si>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</si>
  <si>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</si>
  <si>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</si>
  <si>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</si>
  <si>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</si>
  <si>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</si>
  <si>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</si>
  <si>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</si>
  <si>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</si>
  <si>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</si>
  <si>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</si>
  <si>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</si>
  <si>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</si>
  <si>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</si>
  <si>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</si>
  <si>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</si>
  <si>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</si>
  <si>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</si>
  <si>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</si>
  <si>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</si>
  <si>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</si>
  <si>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</si>
  <si>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</si>
  <si>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</si>
  <si>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 2019 год, (тыс.руб.)</t>
  </si>
  <si>
    <t>1004</t>
  </si>
  <si>
    <t>Приложение  4</t>
  </si>
  <si>
    <t>Исполнение на 01.04.2019г. (тыс. руб.)</t>
  </si>
  <si>
    <t>% исполнения</t>
  </si>
  <si>
    <t>1798,38</t>
  </si>
  <si>
    <t>27,80</t>
  </si>
  <si>
    <t>43,45</t>
  </si>
  <si>
    <t>48,00</t>
  </si>
  <si>
    <t>60,0</t>
  </si>
  <si>
    <t>331,34</t>
  </si>
  <si>
    <t>2287,49</t>
  </si>
  <si>
    <t>1296,87</t>
  </si>
  <si>
    <t>95,20</t>
  </si>
  <si>
    <t>32,00</t>
  </si>
  <si>
    <t>60,00</t>
  </si>
  <si>
    <t>40,26</t>
  </si>
  <si>
    <t>1866,44</t>
  </si>
  <si>
    <t>0,20</t>
  </si>
  <si>
    <t>95,40</t>
  </si>
  <si>
    <t>623,19</t>
  </si>
  <si>
    <t>3242,02</t>
  </si>
  <si>
    <t>Исполнение бюджетных ассигнований по разделам и подразделам, классификации расходов бюджета Елизаветинского сельского поселения  за 1 квартал 2019 года</t>
  </si>
  <si>
    <t>к решению совета депутатов</t>
  </si>
  <si>
    <t xml:space="preserve">от 26.04.2019г. № 302 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</si>
</sst>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19" xfId="0" applyFont="1" applyBorder="1" applyAlignment="1">
      <alignment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2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center" wrapText="1"/>
    </xf>
    <xf numFmtId="182" fontId="13" fillId="0" borderId="23" xfId="0" applyNumberFormat="1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wrapText="1"/>
    </xf>
    <xf numFmtId="182" fontId="13" fillId="0" borderId="22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wrapText="1"/>
    </xf>
    <xf numFmtId="182" fontId="6" fillId="0" borderId="22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B4" sqref="B4:T4"/>
    </sheetView>
  </sheetViews>
  <sheetFormatPr defaultColWidth="9.00390625" defaultRowHeight="12.75"/>
  <cols>
    <col min="1" max="1" width="44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25390625" style="1" customWidth="1"/>
    <col min="16" max="16" width="9.875" style="1" hidden="1" customWidth="1"/>
    <col min="17" max="17" width="8.75390625" style="1" hidden="1" customWidth="1"/>
    <col min="18" max="18" width="12.875" style="1" customWidth="1"/>
    <col min="19" max="19" width="13.75390625" style="1" customWidth="1"/>
    <col min="20" max="20" width="16.25390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24" t="s">
        <v>167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7" t="s">
        <v>116</v>
      </c>
      <c r="V1" s="37" t="s">
        <v>116</v>
      </c>
      <c r="W1" s="38"/>
    </row>
    <row r="2" spans="1:23" ht="12.75">
      <c r="A2" s="2"/>
      <c r="B2" s="125" t="s">
        <v>188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37" t="s">
        <v>117</v>
      </c>
      <c r="V2" s="37" t="s">
        <v>117</v>
      </c>
      <c r="W2" s="38"/>
    </row>
    <row r="3" spans="1:23" ht="12.75">
      <c r="A3" s="2"/>
      <c r="B3" s="125" t="s">
        <v>161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37" t="s">
        <v>118</v>
      </c>
      <c r="V3" s="37" t="s">
        <v>118</v>
      </c>
      <c r="W3" s="38"/>
    </row>
    <row r="4" spans="1:23" ht="15" customHeight="1">
      <c r="A4" s="2"/>
      <c r="B4" s="125" t="s">
        <v>189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37" t="s">
        <v>119</v>
      </c>
      <c r="V4" s="37" t="s">
        <v>119</v>
      </c>
      <c r="W4" s="38"/>
    </row>
    <row r="5" spans="1:23" ht="1.5" customHeight="1" hidden="1">
      <c r="A5" s="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123" t="s">
        <v>187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1:24" ht="19.5" customHeight="1" hidden="1" thickBo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112"/>
      <c r="W9" s="112"/>
      <c r="X9" s="112"/>
    </row>
    <row r="10" spans="1:25" ht="15.75" customHeight="1">
      <c r="A10" s="120" t="s">
        <v>0</v>
      </c>
      <c r="B10" s="113" t="s">
        <v>1</v>
      </c>
      <c r="C10" s="113" t="s">
        <v>2</v>
      </c>
      <c r="D10" s="113"/>
      <c r="E10" s="113"/>
      <c r="F10" s="113" t="s">
        <v>3</v>
      </c>
      <c r="G10" s="115" t="s">
        <v>4</v>
      </c>
      <c r="H10" s="116"/>
      <c r="I10" s="117"/>
      <c r="J10" s="113" t="s">
        <v>5</v>
      </c>
      <c r="K10" s="113" t="s">
        <v>6</v>
      </c>
      <c r="L10" s="115" t="s">
        <v>4</v>
      </c>
      <c r="M10" s="116"/>
      <c r="N10" s="117"/>
      <c r="O10" s="113" t="s">
        <v>125</v>
      </c>
      <c r="P10" s="98" t="s">
        <v>135</v>
      </c>
      <c r="Q10" s="100" t="s">
        <v>144</v>
      </c>
      <c r="R10" s="98" t="s">
        <v>165</v>
      </c>
      <c r="S10" s="108" t="s">
        <v>168</v>
      </c>
      <c r="T10" s="98" t="s">
        <v>169</v>
      </c>
      <c r="U10" s="96" t="s">
        <v>7</v>
      </c>
      <c r="V10" s="103" t="s">
        <v>8</v>
      </c>
      <c r="W10" s="105" t="s">
        <v>9</v>
      </c>
      <c r="X10" s="118" t="s">
        <v>134</v>
      </c>
      <c r="Y10" s="94" t="s">
        <v>10</v>
      </c>
    </row>
    <row r="11" spans="1:25" ht="16.5" customHeight="1">
      <c r="A11" s="121"/>
      <c r="B11" s="114"/>
      <c r="C11" s="114"/>
      <c r="D11" s="114"/>
      <c r="E11" s="114"/>
      <c r="F11" s="114"/>
      <c r="G11" s="114" t="s">
        <v>11</v>
      </c>
      <c r="H11" s="114" t="s">
        <v>12</v>
      </c>
      <c r="I11" s="114" t="s">
        <v>13</v>
      </c>
      <c r="J11" s="114"/>
      <c r="K11" s="114"/>
      <c r="L11" s="114" t="s">
        <v>14</v>
      </c>
      <c r="M11" s="114" t="s">
        <v>12</v>
      </c>
      <c r="N11" s="114" t="s">
        <v>13</v>
      </c>
      <c r="O11" s="114"/>
      <c r="P11" s="99"/>
      <c r="Q11" s="101"/>
      <c r="R11" s="99"/>
      <c r="S11" s="109"/>
      <c r="T11" s="99"/>
      <c r="U11" s="97"/>
      <c r="V11" s="104"/>
      <c r="W11" s="106"/>
      <c r="X11" s="119"/>
      <c r="Y11" s="95"/>
    </row>
    <row r="12" spans="1:25" ht="26.25" customHeight="1">
      <c r="A12" s="121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99"/>
      <c r="Q12" s="102"/>
      <c r="R12" s="99"/>
      <c r="S12" s="110"/>
      <c r="T12" s="99"/>
      <c r="U12" s="97"/>
      <c r="V12" s="104"/>
      <c r="W12" s="107"/>
      <c r="X12" s="119"/>
      <c r="Y12" s="95"/>
    </row>
    <row r="13" spans="1:25" ht="0.75" customHeight="1" hidden="1">
      <c r="A13" s="121"/>
      <c r="B13" s="114"/>
      <c r="C13" s="114"/>
      <c r="D13" s="114"/>
      <c r="E13" s="114"/>
      <c r="F13" s="114"/>
      <c r="G13" s="86"/>
      <c r="H13" s="86"/>
      <c r="I13" s="86"/>
      <c r="J13" s="86"/>
      <c r="K13" s="86"/>
      <c r="L13" s="86"/>
      <c r="M13" s="86"/>
      <c r="N13" s="86"/>
      <c r="O13" s="114"/>
      <c r="P13" s="85"/>
      <c r="Q13" s="87"/>
      <c r="R13" s="85"/>
      <c r="S13" s="89"/>
      <c r="T13" s="85"/>
      <c r="U13" s="40"/>
      <c r="V13" s="41"/>
      <c r="W13" s="42"/>
      <c r="X13" s="119"/>
      <c r="Y13" s="4"/>
    </row>
    <row r="14" spans="1:26" ht="15.75" customHeight="1">
      <c r="A14" s="43" t="s">
        <v>15</v>
      </c>
      <c r="B14" s="44" t="s">
        <v>16</v>
      </c>
      <c r="C14" s="45">
        <f>SUM(C16:C23)</f>
        <v>75792</v>
      </c>
      <c r="D14" s="45">
        <f>SUM(D16:D23)</f>
        <v>-4889</v>
      </c>
      <c r="E14" s="45">
        <f aca="true" t="shared" si="0" ref="E14:N14">SUM(E15:E23)</f>
        <v>72440.56</v>
      </c>
      <c r="F14" s="45">
        <f t="shared" si="0"/>
        <v>81988.9</v>
      </c>
      <c r="G14" s="45">
        <f t="shared" si="0"/>
        <v>68971.9</v>
      </c>
      <c r="H14" s="45">
        <f t="shared" si="0"/>
        <v>11022</v>
      </c>
      <c r="I14" s="45">
        <f t="shared" si="0"/>
        <v>1995</v>
      </c>
      <c r="J14" s="46">
        <f t="shared" si="0"/>
        <v>76926.7</v>
      </c>
      <c r="K14" s="45">
        <f t="shared" si="0"/>
        <v>85299.4</v>
      </c>
      <c r="L14" s="45">
        <f t="shared" si="0"/>
        <v>71345</v>
      </c>
      <c r="M14" s="45">
        <f t="shared" si="0"/>
        <v>13874.400000000001</v>
      </c>
      <c r="N14" s="45">
        <f t="shared" si="0"/>
        <v>80</v>
      </c>
      <c r="O14" s="44"/>
      <c r="P14" s="47">
        <v>6490.7</v>
      </c>
      <c r="Q14" s="72" t="s">
        <v>145</v>
      </c>
      <c r="R14" s="77">
        <v>15807.77</v>
      </c>
      <c r="S14" s="90" t="s">
        <v>182</v>
      </c>
      <c r="T14" s="49">
        <f>S14/R14*100</f>
        <v>11.807104986977922</v>
      </c>
      <c r="U14" s="48">
        <f>J14/G14*100</f>
        <v>111.5333925845163</v>
      </c>
      <c r="V14" s="49">
        <f>L14/G14*100</f>
        <v>103.4406765653839</v>
      </c>
      <c r="W14" s="50" t="e">
        <f>L14/L94*100</f>
        <v>#REF!</v>
      </c>
      <c r="X14" s="46">
        <f>SUM(X15:X23)</f>
        <v>33597.1</v>
      </c>
      <c r="Y14" s="5">
        <f>L14/X14*100</f>
        <v>212.35463775147258</v>
      </c>
      <c r="Z14" s="84"/>
    </row>
    <row r="15" spans="1:25" ht="0" customHeight="1" hidden="1">
      <c r="A15" s="51" t="s">
        <v>115</v>
      </c>
      <c r="B15" s="52"/>
      <c r="C15" s="45"/>
      <c r="D15" s="45"/>
      <c r="E15" s="53">
        <v>757</v>
      </c>
      <c r="F15" s="53">
        <f>G15+H15+I15</f>
        <v>757</v>
      </c>
      <c r="G15" s="53">
        <v>757</v>
      </c>
      <c r="H15" s="53"/>
      <c r="I15" s="53"/>
      <c r="J15" s="53">
        <v>933</v>
      </c>
      <c r="K15" s="54">
        <f aca="true" t="shared" si="1" ref="K15:K82">L15+M15+N15</f>
        <v>833</v>
      </c>
      <c r="L15" s="53">
        <v>833</v>
      </c>
      <c r="M15" s="53"/>
      <c r="N15" s="53"/>
      <c r="O15" s="52" t="s">
        <v>17</v>
      </c>
      <c r="P15" s="55">
        <v>563.7</v>
      </c>
      <c r="Q15" s="73"/>
      <c r="R15" s="78"/>
      <c r="S15" s="91"/>
      <c r="T15" s="49" t="e">
        <f aca="true" t="shared" si="2" ref="T15:T78">S15/R15*100</f>
        <v>#DIV/0!</v>
      </c>
      <c r="U15" s="48">
        <f>J15/G15*100</f>
        <v>123.24966974900924</v>
      </c>
      <c r="V15" s="49">
        <f>L15/G15*100</f>
        <v>110.03963011889036</v>
      </c>
      <c r="W15" s="50"/>
      <c r="X15" s="56">
        <v>466.6</v>
      </c>
      <c r="Y15" s="5">
        <f>L15/X15*100</f>
        <v>178.52550364337762</v>
      </c>
    </row>
    <row r="16" spans="1:25" ht="16.5" customHeight="1">
      <c r="A16" s="57" t="s">
        <v>18</v>
      </c>
      <c r="B16" s="52"/>
      <c r="C16" s="54">
        <v>45198</v>
      </c>
      <c r="D16" s="54">
        <f>-834-3694</f>
        <v>-4528</v>
      </c>
      <c r="E16" s="53">
        <v>39830</v>
      </c>
      <c r="F16" s="53">
        <f aca="true" t="shared" si="3" ref="F16:F77">G16+H16+I16</f>
        <v>47382.1</v>
      </c>
      <c r="G16" s="53">
        <f>42752.1+2800</f>
        <v>45552.1</v>
      </c>
      <c r="H16" s="53"/>
      <c r="I16" s="53">
        <v>1830</v>
      </c>
      <c r="J16" s="53">
        <f>1166+45418</f>
        <v>46584</v>
      </c>
      <c r="K16" s="54">
        <f t="shared" si="1"/>
        <v>45100</v>
      </c>
      <c r="L16" s="53">
        <v>45100</v>
      </c>
      <c r="M16" s="53"/>
      <c r="N16" s="53"/>
      <c r="O16" s="52" t="s">
        <v>19</v>
      </c>
      <c r="P16" s="55">
        <v>5366</v>
      </c>
      <c r="Q16" s="73" t="s">
        <v>146</v>
      </c>
      <c r="R16" s="79">
        <v>11379.02</v>
      </c>
      <c r="S16" s="91" t="s">
        <v>170</v>
      </c>
      <c r="T16" s="88">
        <f t="shared" si="2"/>
        <v>15.804348704897258</v>
      </c>
      <c r="U16" s="48">
        <f>J16/G16*100</f>
        <v>102.26531817413466</v>
      </c>
      <c r="V16" s="49">
        <f>L16/G16*100</f>
        <v>99.00751008186232</v>
      </c>
      <c r="W16" s="58"/>
      <c r="X16" s="54">
        <v>26630.9</v>
      </c>
      <c r="Y16" s="5">
        <f>L16/X16*100</f>
        <v>169.35214356255327</v>
      </c>
    </row>
    <row r="17" spans="1:25" ht="12.75" customHeight="1" hidden="1">
      <c r="A17" s="57" t="s">
        <v>20</v>
      </c>
      <c r="B17" s="52"/>
      <c r="C17" s="54"/>
      <c r="D17" s="54"/>
      <c r="E17" s="53">
        <v>186</v>
      </c>
      <c r="F17" s="53">
        <f t="shared" si="3"/>
        <v>186</v>
      </c>
      <c r="G17" s="53"/>
      <c r="H17" s="53">
        <v>186</v>
      </c>
      <c r="I17" s="53"/>
      <c r="J17" s="53"/>
      <c r="K17" s="54">
        <f t="shared" si="1"/>
        <v>361.1</v>
      </c>
      <c r="L17" s="53"/>
      <c r="M17" s="53">
        <v>361.1</v>
      </c>
      <c r="N17" s="53"/>
      <c r="O17" s="52" t="s">
        <v>21</v>
      </c>
      <c r="P17" s="55"/>
      <c r="Q17" s="73"/>
      <c r="R17" s="78"/>
      <c r="S17" s="91"/>
      <c r="T17" s="88" t="e">
        <f t="shared" si="2"/>
        <v>#DIV/0!</v>
      </c>
      <c r="U17" s="48"/>
      <c r="V17" s="49"/>
      <c r="W17" s="58"/>
      <c r="X17" s="54" t="s">
        <v>22</v>
      </c>
      <c r="Y17" s="5"/>
    </row>
    <row r="18" spans="1:25" ht="0" customHeight="1" hidden="1">
      <c r="A18" s="57" t="s">
        <v>23</v>
      </c>
      <c r="B18" s="52"/>
      <c r="C18" s="54">
        <v>9219</v>
      </c>
      <c r="D18" s="54">
        <v>-160</v>
      </c>
      <c r="E18" s="53">
        <v>7953</v>
      </c>
      <c r="F18" s="53">
        <f t="shared" si="3"/>
        <v>11596.7</v>
      </c>
      <c r="G18" s="53">
        <v>9353</v>
      </c>
      <c r="H18" s="53">
        <v>2243.7</v>
      </c>
      <c r="I18" s="53"/>
      <c r="J18" s="53">
        <f>964+1900.4+9889.6</f>
        <v>12754</v>
      </c>
      <c r="K18" s="54">
        <f t="shared" si="1"/>
        <v>11449.6</v>
      </c>
      <c r="L18" s="53">
        <f>1631+8350</f>
        <v>9981</v>
      </c>
      <c r="M18" s="53">
        <v>1468.6</v>
      </c>
      <c r="N18" s="53"/>
      <c r="O18" s="52" t="s">
        <v>24</v>
      </c>
      <c r="P18" s="55"/>
      <c r="Q18" s="73"/>
      <c r="R18" s="78"/>
      <c r="S18" s="91"/>
      <c r="T18" s="88" t="e">
        <f t="shared" si="2"/>
        <v>#DIV/0!</v>
      </c>
      <c r="U18" s="48">
        <f>J18/G18*100</f>
        <v>136.36266438575856</v>
      </c>
      <c r="V18" s="49">
        <f>L18/G18*100</f>
        <v>106.71442317972844</v>
      </c>
      <c r="W18" s="58"/>
      <c r="X18" s="54">
        <v>6499.6</v>
      </c>
      <c r="Y18" s="5">
        <f>L18/X18*100</f>
        <v>153.56329620284325</v>
      </c>
    </row>
    <row r="19" spans="1:25" ht="15.75" customHeight="1" hidden="1">
      <c r="A19" s="57" t="s">
        <v>25</v>
      </c>
      <c r="B19" s="52"/>
      <c r="C19" s="54"/>
      <c r="D19" s="54"/>
      <c r="E19" s="53"/>
      <c r="F19" s="53">
        <f t="shared" si="3"/>
        <v>1740</v>
      </c>
      <c r="G19" s="53">
        <f>500+1240</f>
        <v>1740</v>
      </c>
      <c r="H19" s="53"/>
      <c r="I19" s="53"/>
      <c r="J19" s="53"/>
      <c r="K19" s="54">
        <f t="shared" si="1"/>
        <v>0</v>
      </c>
      <c r="L19" s="53"/>
      <c r="M19" s="53"/>
      <c r="N19" s="53"/>
      <c r="O19" s="52" t="s">
        <v>26</v>
      </c>
      <c r="P19" s="55"/>
      <c r="Q19" s="73"/>
      <c r="R19" s="78"/>
      <c r="S19" s="91"/>
      <c r="T19" s="88" t="e">
        <f t="shared" si="2"/>
        <v>#DIV/0!</v>
      </c>
      <c r="U19" s="48">
        <f>J19/G19*100</f>
        <v>0</v>
      </c>
      <c r="V19" s="49">
        <f>L19/G19*100</f>
        <v>0</v>
      </c>
      <c r="W19" s="58"/>
      <c r="X19" s="54"/>
      <c r="Y19" s="5"/>
    </row>
    <row r="20" spans="1:25" ht="63.75" customHeight="1">
      <c r="A20" s="57" t="s">
        <v>164</v>
      </c>
      <c r="B20" s="52"/>
      <c r="C20" s="54"/>
      <c r="D20" s="54"/>
      <c r="E20" s="53"/>
      <c r="F20" s="53"/>
      <c r="G20" s="53"/>
      <c r="H20" s="53"/>
      <c r="I20" s="53"/>
      <c r="J20" s="53"/>
      <c r="K20" s="54"/>
      <c r="L20" s="53"/>
      <c r="M20" s="53"/>
      <c r="N20" s="53"/>
      <c r="O20" s="52" t="s">
        <v>24</v>
      </c>
      <c r="P20" s="55"/>
      <c r="Q20" s="73"/>
      <c r="R20" s="83">
        <v>161.15</v>
      </c>
      <c r="S20" s="91" t="s">
        <v>181</v>
      </c>
      <c r="T20" s="88">
        <f t="shared" si="2"/>
        <v>24.982935153583615</v>
      </c>
      <c r="U20" s="48"/>
      <c r="V20" s="49"/>
      <c r="W20" s="58"/>
      <c r="X20" s="54"/>
      <c r="Y20" s="5"/>
    </row>
    <row r="21" spans="1:25" ht="32.25" customHeight="1">
      <c r="A21" s="57" t="s">
        <v>158</v>
      </c>
      <c r="B21" s="52"/>
      <c r="C21" s="54"/>
      <c r="D21" s="54"/>
      <c r="E21" s="53"/>
      <c r="F21" s="53"/>
      <c r="G21" s="53"/>
      <c r="H21" s="53"/>
      <c r="I21" s="53"/>
      <c r="J21" s="53"/>
      <c r="K21" s="54"/>
      <c r="L21" s="53"/>
      <c r="M21" s="53"/>
      <c r="N21" s="53"/>
      <c r="O21" s="52" t="s">
        <v>26</v>
      </c>
      <c r="P21" s="55"/>
      <c r="Q21" s="73"/>
      <c r="R21" s="79">
        <v>382.6</v>
      </c>
      <c r="S21" s="91"/>
      <c r="T21" s="88">
        <f t="shared" si="2"/>
        <v>0</v>
      </c>
      <c r="U21" s="48"/>
      <c r="V21" s="49"/>
      <c r="W21" s="58"/>
      <c r="X21" s="54"/>
      <c r="Y21" s="5"/>
    </row>
    <row r="22" spans="1:25" ht="16.5" customHeight="1">
      <c r="A22" s="57" t="s">
        <v>27</v>
      </c>
      <c r="B22" s="52"/>
      <c r="C22" s="54"/>
      <c r="D22" s="54"/>
      <c r="E22" s="53"/>
      <c r="F22" s="53"/>
      <c r="G22" s="53"/>
      <c r="H22" s="53"/>
      <c r="I22" s="53"/>
      <c r="J22" s="53"/>
      <c r="K22" s="54"/>
      <c r="L22" s="53"/>
      <c r="M22" s="53"/>
      <c r="N22" s="53"/>
      <c r="O22" s="52" t="s">
        <v>138</v>
      </c>
      <c r="P22" s="55"/>
      <c r="Q22" s="73"/>
      <c r="R22" s="79">
        <v>50</v>
      </c>
      <c r="S22" s="91"/>
      <c r="T22" s="88">
        <f t="shared" si="2"/>
        <v>0</v>
      </c>
      <c r="U22" s="48"/>
      <c r="V22" s="49"/>
      <c r="W22" s="58"/>
      <c r="X22" s="54"/>
      <c r="Y22" s="5"/>
    </row>
    <row r="23" spans="1:25" ht="23.25" customHeight="1">
      <c r="A23" s="57" t="s">
        <v>124</v>
      </c>
      <c r="B23" s="52"/>
      <c r="C23" s="54">
        <v>21375</v>
      </c>
      <c r="D23" s="54">
        <f>160+834-4889+3694</f>
        <v>-201</v>
      </c>
      <c r="E23" s="53">
        <f>SUM(E24:E34)</f>
        <v>23714.559999999998</v>
      </c>
      <c r="F23" s="53">
        <f>G23+H23+I23</f>
        <v>20327.1</v>
      </c>
      <c r="G23" s="53">
        <f>SUM(G24:G34)</f>
        <v>11569.8</v>
      </c>
      <c r="H23" s="53">
        <f>SUM(H24:H34)</f>
        <v>8592.3</v>
      </c>
      <c r="I23" s="53">
        <f>SUM(I24:I34)</f>
        <v>165</v>
      </c>
      <c r="J23" s="53">
        <f>SUM(J24:J34)</f>
        <v>16655.7</v>
      </c>
      <c r="K23" s="54">
        <f>L23+M23+N23</f>
        <v>27555.7</v>
      </c>
      <c r="L23" s="53">
        <f>SUM(L24:L34)</f>
        <v>15431</v>
      </c>
      <c r="M23" s="53">
        <f>SUM(M24:M34)</f>
        <v>12044.7</v>
      </c>
      <c r="N23" s="53">
        <f>SUM(N24:N34)</f>
        <v>80</v>
      </c>
      <c r="O23" s="52" t="s">
        <v>139</v>
      </c>
      <c r="P23" s="55">
        <v>511</v>
      </c>
      <c r="Q23" s="73" t="s">
        <v>147</v>
      </c>
      <c r="R23" s="79">
        <v>3835</v>
      </c>
      <c r="S23" s="91" t="s">
        <v>171</v>
      </c>
      <c r="T23" s="88">
        <f t="shared" si="2"/>
        <v>0.7249022164276402</v>
      </c>
      <c r="U23" s="48"/>
      <c r="V23" s="49"/>
      <c r="W23" s="58"/>
      <c r="X23" s="54"/>
      <c r="Y23" s="5"/>
    </row>
    <row r="24" spans="1:25" ht="18.75" customHeight="1" hidden="1">
      <c r="A24" s="43" t="s">
        <v>140</v>
      </c>
      <c r="B24" s="44" t="s">
        <v>142</v>
      </c>
      <c r="C24" s="45"/>
      <c r="D24" s="45"/>
      <c r="E24" s="46">
        <v>5369</v>
      </c>
      <c r="F24" s="46">
        <f t="shared" si="3"/>
        <v>3884</v>
      </c>
      <c r="G24" s="46">
        <v>3719</v>
      </c>
      <c r="H24" s="46"/>
      <c r="I24" s="46">
        <v>165</v>
      </c>
      <c r="J24" s="46">
        <v>4643.7</v>
      </c>
      <c r="K24" s="45">
        <f t="shared" si="1"/>
        <v>4158</v>
      </c>
      <c r="L24" s="46">
        <v>4078</v>
      </c>
      <c r="M24" s="46"/>
      <c r="N24" s="46">
        <v>80</v>
      </c>
      <c r="O24" s="44"/>
      <c r="P24" s="47"/>
      <c r="Q24" s="72" t="s">
        <v>148</v>
      </c>
      <c r="R24" s="80"/>
      <c r="S24" s="90"/>
      <c r="T24" s="49" t="e">
        <f t="shared" si="2"/>
        <v>#DIV/0!</v>
      </c>
      <c r="U24" s="48">
        <f>J24/G24*100</f>
        <v>124.86421080935735</v>
      </c>
      <c r="V24" s="49">
        <f>L24/G24*100</f>
        <v>109.6531325625168</v>
      </c>
      <c r="W24" s="58"/>
      <c r="X24" s="54">
        <v>2007.6</v>
      </c>
      <c r="Y24" s="5">
        <f aca="true" t="shared" si="4" ref="Y24:Y36">L24/X24*100</f>
        <v>203.1281131699542</v>
      </c>
    </row>
    <row r="25" spans="1:25" ht="12.75" customHeight="1" hidden="1">
      <c r="A25" s="57" t="s">
        <v>28</v>
      </c>
      <c r="B25" s="52"/>
      <c r="C25" s="54"/>
      <c r="D25" s="54"/>
      <c r="E25" s="53">
        <v>1500</v>
      </c>
      <c r="F25" s="53">
        <f t="shared" si="3"/>
        <v>1500</v>
      </c>
      <c r="G25" s="53">
        <v>1500</v>
      </c>
      <c r="H25" s="53"/>
      <c r="I25" s="53"/>
      <c r="J25" s="53">
        <v>2060</v>
      </c>
      <c r="K25" s="54">
        <f t="shared" si="1"/>
        <v>1500</v>
      </c>
      <c r="L25" s="53">
        <v>1500</v>
      </c>
      <c r="M25" s="53"/>
      <c r="N25" s="53"/>
      <c r="O25" s="52"/>
      <c r="P25" s="55"/>
      <c r="Q25" s="73"/>
      <c r="R25" s="78"/>
      <c r="S25" s="91"/>
      <c r="T25" s="49" t="e">
        <f t="shared" si="2"/>
        <v>#DIV/0!</v>
      </c>
      <c r="U25" s="48">
        <f>J25/G25*100</f>
        <v>137.33333333333334</v>
      </c>
      <c r="V25" s="49">
        <f>L25/G25*100</f>
        <v>100</v>
      </c>
      <c r="W25" s="58"/>
      <c r="X25" s="54">
        <v>357.4</v>
      </c>
      <c r="Y25" s="5">
        <f t="shared" si="4"/>
        <v>419.6978175713487</v>
      </c>
    </row>
    <row r="26" spans="1:25" ht="13.5" customHeight="1" hidden="1">
      <c r="A26" s="57" t="s">
        <v>29</v>
      </c>
      <c r="B26" s="52"/>
      <c r="C26" s="54"/>
      <c r="D26" s="54"/>
      <c r="E26" s="53">
        <v>176</v>
      </c>
      <c r="F26" s="53">
        <f t="shared" si="3"/>
        <v>176</v>
      </c>
      <c r="G26" s="53">
        <v>100</v>
      </c>
      <c r="H26" s="53">
        <v>76</v>
      </c>
      <c r="I26" s="53"/>
      <c r="J26" s="53"/>
      <c r="K26" s="54">
        <f t="shared" si="1"/>
        <v>83</v>
      </c>
      <c r="L26" s="53"/>
      <c r="M26" s="53">
        <v>83</v>
      </c>
      <c r="N26" s="53"/>
      <c r="O26" s="52"/>
      <c r="P26" s="55"/>
      <c r="Q26" s="73"/>
      <c r="R26" s="78"/>
      <c r="S26" s="91"/>
      <c r="T26" s="49" t="e">
        <f t="shared" si="2"/>
        <v>#DIV/0!</v>
      </c>
      <c r="U26" s="48">
        <f>J26/G26*100</f>
        <v>0</v>
      </c>
      <c r="V26" s="49">
        <f>L26/G26*100</f>
        <v>0</v>
      </c>
      <c r="W26" s="58"/>
      <c r="X26" s="54">
        <v>69</v>
      </c>
      <c r="Y26" s="5">
        <f t="shared" si="4"/>
        <v>0</v>
      </c>
    </row>
    <row r="27" spans="1:25" ht="12.75" customHeight="1" hidden="1">
      <c r="A27" s="57" t="s">
        <v>30</v>
      </c>
      <c r="B27" s="52"/>
      <c r="C27" s="54"/>
      <c r="D27" s="54"/>
      <c r="E27" s="54">
        <v>2024.76</v>
      </c>
      <c r="F27" s="53">
        <f t="shared" si="3"/>
        <v>2034.8</v>
      </c>
      <c r="G27" s="54"/>
      <c r="H27" s="54">
        <v>2034.8</v>
      </c>
      <c r="I27" s="54"/>
      <c r="J27" s="54"/>
      <c r="K27" s="54">
        <f t="shared" si="1"/>
        <v>5309.7</v>
      </c>
      <c r="L27" s="54"/>
      <c r="M27" s="54">
        <f>390.9+1599.8+389+10+2920</f>
        <v>5309.7</v>
      </c>
      <c r="N27" s="54"/>
      <c r="O27" s="52"/>
      <c r="P27" s="55"/>
      <c r="Q27" s="73"/>
      <c r="R27" s="78"/>
      <c r="S27" s="91"/>
      <c r="T27" s="49" t="e">
        <f t="shared" si="2"/>
        <v>#DIV/0!</v>
      </c>
      <c r="U27" s="48"/>
      <c r="V27" s="49"/>
      <c r="W27" s="58"/>
      <c r="X27" s="54">
        <v>976.5</v>
      </c>
      <c r="Y27" s="5">
        <f t="shared" si="4"/>
        <v>0</v>
      </c>
    </row>
    <row r="28" spans="1:25" ht="12.75" customHeight="1" hidden="1">
      <c r="A28" s="57" t="s">
        <v>31</v>
      </c>
      <c r="B28" s="52"/>
      <c r="C28" s="54"/>
      <c r="D28" s="54"/>
      <c r="E28" s="54">
        <v>1871.8</v>
      </c>
      <c r="F28" s="53">
        <f t="shared" si="3"/>
        <v>0</v>
      </c>
      <c r="G28" s="54"/>
      <c r="H28" s="54"/>
      <c r="I28" s="54"/>
      <c r="J28" s="54"/>
      <c r="K28" s="54">
        <f t="shared" si="1"/>
        <v>0</v>
      </c>
      <c r="L28" s="54"/>
      <c r="M28" s="54"/>
      <c r="N28" s="54"/>
      <c r="O28" s="52"/>
      <c r="P28" s="55"/>
      <c r="Q28" s="73"/>
      <c r="R28" s="78"/>
      <c r="S28" s="91"/>
      <c r="T28" s="49" t="e">
        <f t="shared" si="2"/>
        <v>#DIV/0!</v>
      </c>
      <c r="U28" s="48"/>
      <c r="V28" s="49"/>
      <c r="W28" s="58"/>
      <c r="X28" s="54">
        <v>311.4</v>
      </c>
      <c r="Y28" s="5">
        <f t="shared" si="4"/>
        <v>0</v>
      </c>
    </row>
    <row r="29" spans="1:25" ht="12.75" customHeight="1" hidden="1">
      <c r="A29" s="57" t="s">
        <v>32</v>
      </c>
      <c r="B29" s="52"/>
      <c r="C29" s="54"/>
      <c r="D29" s="54"/>
      <c r="E29" s="54">
        <v>6218</v>
      </c>
      <c r="F29" s="53">
        <f t="shared" si="3"/>
        <v>6481.5</v>
      </c>
      <c r="G29" s="54"/>
      <c r="H29" s="54">
        <v>6481.5</v>
      </c>
      <c r="I29" s="54"/>
      <c r="J29" s="54"/>
      <c r="K29" s="54">
        <f t="shared" si="1"/>
        <v>6652</v>
      </c>
      <c r="L29" s="54"/>
      <c r="M29" s="54">
        <v>6652</v>
      </c>
      <c r="N29" s="54"/>
      <c r="O29" s="52"/>
      <c r="P29" s="55"/>
      <c r="Q29" s="73"/>
      <c r="R29" s="78"/>
      <c r="S29" s="91"/>
      <c r="T29" s="49" t="e">
        <f t="shared" si="2"/>
        <v>#DIV/0!</v>
      </c>
      <c r="U29" s="48"/>
      <c r="V29" s="49"/>
      <c r="W29" s="58"/>
      <c r="X29" s="54">
        <v>2079.9</v>
      </c>
      <c r="Y29" s="5">
        <f t="shared" si="4"/>
        <v>0</v>
      </c>
    </row>
    <row r="30" spans="1:25" ht="0.75" customHeight="1" hidden="1">
      <c r="A30" s="57" t="s">
        <v>33</v>
      </c>
      <c r="B30" s="52"/>
      <c r="C30" s="54"/>
      <c r="D30" s="54"/>
      <c r="E30" s="54">
        <v>1555</v>
      </c>
      <c r="F30" s="53">
        <f t="shared" si="3"/>
        <v>1250.8</v>
      </c>
      <c r="G30" s="54">
        <v>1250.8</v>
      </c>
      <c r="H30" s="54"/>
      <c r="I30" s="54"/>
      <c r="J30" s="54"/>
      <c r="K30" s="54">
        <f t="shared" si="1"/>
        <v>0</v>
      </c>
      <c r="L30" s="54"/>
      <c r="M30" s="54"/>
      <c r="N30" s="54"/>
      <c r="O30" s="52"/>
      <c r="P30" s="55"/>
      <c r="Q30" s="73"/>
      <c r="R30" s="78"/>
      <c r="S30" s="91"/>
      <c r="T30" s="49" t="e">
        <f t="shared" si="2"/>
        <v>#DIV/0!</v>
      </c>
      <c r="U30" s="48">
        <f>J30/G30*100</f>
        <v>0</v>
      </c>
      <c r="V30" s="49">
        <f>L30/G30*100</f>
        <v>0</v>
      </c>
      <c r="W30" s="58"/>
      <c r="X30" s="54">
        <v>3897.1</v>
      </c>
      <c r="Y30" s="5">
        <f t="shared" si="4"/>
        <v>0</v>
      </c>
    </row>
    <row r="31" spans="1:25" ht="0.75" customHeight="1" hidden="1">
      <c r="A31" s="57"/>
      <c r="B31" s="52"/>
      <c r="C31" s="54"/>
      <c r="D31" s="54"/>
      <c r="E31" s="54"/>
      <c r="F31" s="53"/>
      <c r="G31" s="54"/>
      <c r="H31" s="54"/>
      <c r="I31" s="54"/>
      <c r="J31" s="54"/>
      <c r="K31" s="54"/>
      <c r="L31" s="54"/>
      <c r="M31" s="54"/>
      <c r="N31" s="54"/>
      <c r="O31" s="52"/>
      <c r="P31" s="55"/>
      <c r="Q31" s="73"/>
      <c r="R31" s="78"/>
      <c r="S31" s="91"/>
      <c r="T31" s="49" t="e">
        <f t="shared" si="2"/>
        <v>#DIV/0!</v>
      </c>
      <c r="U31" s="48"/>
      <c r="V31" s="49"/>
      <c r="W31" s="58"/>
      <c r="X31" s="54"/>
      <c r="Y31" s="5"/>
    </row>
    <row r="32" spans="1:25" ht="27" customHeight="1">
      <c r="A32" s="43" t="s">
        <v>140</v>
      </c>
      <c r="B32" s="44" t="s">
        <v>142</v>
      </c>
      <c r="C32" s="54"/>
      <c r="D32" s="54"/>
      <c r="E32" s="54"/>
      <c r="F32" s="53">
        <f t="shared" si="3"/>
        <v>0</v>
      </c>
      <c r="G32" s="54"/>
      <c r="H32" s="54"/>
      <c r="I32" s="54"/>
      <c r="J32" s="54"/>
      <c r="K32" s="54">
        <f t="shared" si="1"/>
        <v>0</v>
      </c>
      <c r="L32" s="54"/>
      <c r="M32" s="54"/>
      <c r="N32" s="54"/>
      <c r="O32" s="52"/>
      <c r="P32" s="55"/>
      <c r="Q32" s="73"/>
      <c r="R32" s="77">
        <v>278.3</v>
      </c>
      <c r="S32" s="90" t="s">
        <v>172</v>
      </c>
      <c r="T32" s="49">
        <f t="shared" si="2"/>
        <v>15.612648221343875</v>
      </c>
      <c r="U32" s="48"/>
      <c r="V32" s="49"/>
      <c r="W32" s="58"/>
      <c r="X32" s="54">
        <v>2166.8</v>
      </c>
      <c r="Y32" s="5">
        <f t="shared" si="4"/>
        <v>0</v>
      </c>
    </row>
    <row r="33" spans="1:25" ht="31.5">
      <c r="A33" s="57" t="s">
        <v>141</v>
      </c>
      <c r="B33" s="52"/>
      <c r="C33" s="54"/>
      <c r="D33" s="54"/>
      <c r="E33" s="54">
        <v>5000</v>
      </c>
      <c r="F33" s="53">
        <f t="shared" si="3"/>
        <v>5000</v>
      </c>
      <c r="G33" s="54">
        <v>5000</v>
      </c>
      <c r="H33" s="54"/>
      <c r="I33" s="54"/>
      <c r="J33" s="54">
        <v>9952</v>
      </c>
      <c r="K33" s="54">
        <f t="shared" si="1"/>
        <v>9853</v>
      </c>
      <c r="L33" s="54">
        <v>9853</v>
      </c>
      <c r="M33" s="54"/>
      <c r="N33" s="54"/>
      <c r="O33" s="52" t="s">
        <v>143</v>
      </c>
      <c r="P33" s="55"/>
      <c r="Q33" s="73" t="s">
        <v>148</v>
      </c>
      <c r="R33" s="79">
        <v>278.3</v>
      </c>
      <c r="S33" s="91" t="s">
        <v>172</v>
      </c>
      <c r="T33" s="88">
        <f t="shared" si="2"/>
        <v>15.612648221343875</v>
      </c>
      <c r="U33" s="48">
        <f aca="true" t="shared" si="5" ref="U33:U39">J33/G33*100</f>
        <v>199.04</v>
      </c>
      <c r="V33" s="49">
        <f aca="true" t="shared" si="6" ref="V33:V39">L33/G33*100</f>
        <v>197.06</v>
      </c>
      <c r="W33" s="58"/>
      <c r="X33" s="54">
        <v>706.7</v>
      </c>
      <c r="Y33" s="5">
        <f t="shared" si="4"/>
        <v>1394.2266874204047</v>
      </c>
    </row>
    <row r="34" spans="1:25" ht="33" customHeight="1" hidden="1">
      <c r="A34" s="57" t="s">
        <v>34</v>
      </c>
      <c r="B34" s="52"/>
      <c r="C34" s="54"/>
      <c r="D34" s="54"/>
      <c r="E34" s="54"/>
      <c r="F34" s="53">
        <f t="shared" si="3"/>
        <v>0</v>
      </c>
      <c r="G34" s="54"/>
      <c r="H34" s="54"/>
      <c r="I34" s="54"/>
      <c r="J34" s="54"/>
      <c r="K34" s="54">
        <f t="shared" si="1"/>
        <v>0</v>
      </c>
      <c r="L34" s="54"/>
      <c r="M34" s="54"/>
      <c r="N34" s="54"/>
      <c r="O34" s="52"/>
      <c r="P34" s="55"/>
      <c r="Q34" s="73"/>
      <c r="R34" s="79"/>
      <c r="S34" s="91"/>
      <c r="T34" s="49" t="e">
        <f t="shared" si="2"/>
        <v>#DIV/0!</v>
      </c>
      <c r="U34" s="48" t="e">
        <f t="shared" si="5"/>
        <v>#DIV/0!</v>
      </c>
      <c r="V34" s="49" t="e">
        <f t="shared" si="6"/>
        <v>#DIV/0!</v>
      </c>
      <c r="W34" s="58"/>
      <c r="X34" s="54"/>
      <c r="Y34" s="5" t="e">
        <f t="shared" si="4"/>
        <v>#DIV/0!</v>
      </c>
    </row>
    <row r="35" spans="1:25" ht="28.5" customHeight="1" hidden="1">
      <c r="A35" s="57" t="s">
        <v>35</v>
      </c>
      <c r="B35" s="52"/>
      <c r="C35" s="54"/>
      <c r="D35" s="54"/>
      <c r="E35" s="54"/>
      <c r="F35" s="53">
        <f t="shared" si="3"/>
        <v>0</v>
      </c>
      <c r="G35" s="54"/>
      <c r="H35" s="54"/>
      <c r="I35" s="54"/>
      <c r="J35" s="54"/>
      <c r="K35" s="54">
        <f t="shared" si="1"/>
        <v>0</v>
      </c>
      <c r="L35" s="54"/>
      <c r="M35" s="54"/>
      <c r="N35" s="54"/>
      <c r="O35" s="52"/>
      <c r="P35" s="55"/>
      <c r="Q35" s="73"/>
      <c r="R35" s="79"/>
      <c r="S35" s="91"/>
      <c r="T35" s="49" t="e">
        <f t="shared" si="2"/>
        <v>#DIV/0!</v>
      </c>
      <c r="U35" s="48" t="e">
        <f t="shared" si="5"/>
        <v>#DIV/0!</v>
      </c>
      <c r="V35" s="49" t="e">
        <f t="shared" si="6"/>
        <v>#DIV/0!</v>
      </c>
      <c r="W35" s="58"/>
      <c r="X35" s="54"/>
      <c r="Y35" s="5" t="e">
        <f t="shared" si="4"/>
        <v>#DIV/0!</v>
      </c>
    </row>
    <row r="36" spans="1:25" ht="32.25" customHeight="1">
      <c r="A36" s="43" t="s">
        <v>36</v>
      </c>
      <c r="B36" s="44" t="s">
        <v>37</v>
      </c>
      <c r="C36" s="45">
        <f>SUM(C38:C39)</f>
        <v>0</v>
      </c>
      <c r="D36" s="45">
        <f>SUM(D38:D39)</f>
        <v>0</v>
      </c>
      <c r="E36" s="45">
        <f>SUM(E37:E39)</f>
        <v>1000</v>
      </c>
      <c r="F36" s="45">
        <f>SUM(F37:F37)</f>
        <v>2800</v>
      </c>
      <c r="G36" s="45">
        <f>SUM(G37:G37)</f>
        <v>2800</v>
      </c>
      <c r="H36" s="45">
        <f>SUM(H37:H37)</f>
        <v>0</v>
      </c>
      <c r="I36" s="45">
        <f>SUM(I37:I37)</f>
        <v>0</v>
      </c>
      <c r="J36" s="45">
        <f>SUM(J37:J39)</f>
        <v>4292</v>
      </c>
      <c r="K36" s="45">
        <f>SUM(K37:K39)</f>
        <v>2800</v>
      </c>
      <c r="L36" s="45">
        <f>SUM(L37:L39)</f>
        <v>2800</v>
      </c>
      <c r="M36" s="45">
        <f>SUM(M37:M39)</f>
        <v>0</v>
      </c>
      <c r="N36" s="45">
        <f>SUM(N37:N39)</f>
        <v>0</v>
      </c>
      <c r="O36" s="44"/>
      <c r="P36" s="47">
        <v>100</v>
      </c>
      <c r="Q36" s="72"/>
      <c r="R36" s="77">
        <v>185</v>
      </c>
      <c r="S36" s="90"/>
      <c r="T36" s="49">
        <f t="shared" si="2"/>
        <v>0</v>
      </c>
      <c r="U36" s="48">
        <f t="shared" si="5"/>
        <v>153.28571428571428</v>
      </c>
      <c r="V36" s="49">
        <f t="shared" si="6"/>
        <v>100</v>
      </c>
      <c r="W36" s="50" t="e">
        <f>L36/L94*100</f>
        <v>#REF!</v>
      </c>
      <c r="X36" s="45">
        <f>SUM(X37:X39)</f>
        <v>250</v>
      </c>
      <c r="Y36" s="5">
        <f t="shared" si="4"/>
        <v>1120</v>
      </c>
    </row>
    <row r="37" spans="1:25" ht="63" customHeight="1">
      <c r="A37" s="57" t="s">
        <v>133</v>
      </c>
      <c r="B37" s="52"/>
      <c r="C37" s="45"/>
      <c r="D37" s="45"/>
      <c r="E37" s="54">
        <v>1000</v>
      </c>
      <c r="F37" s="53">
        <f t="shared" si="3"/>
        <v>2800</v>
      </c>
      <c r="G37" s="54">
        <f>1000+1800</f>
        <v>2800</v>
      </c>
      <c r="H37" s="54"/>
      <c r="I37" s="54"/>
      <c r="J37" s="54">
        <v>4292</v>
      </c>
      <c r="K37" s="54">
        <f t="shared" si="1"/>
        <v>2800</v>
      </c>
      <c r="L37" s="54">
        <v>2800</v>
      </c>
      <c r="M37" s="54"/>
      <c r="N37" s="54"/>
      <c r="O37" s="52" t="s">
        <v>38</v>
      </c>
      <c r="P37" s="55">
        <v>50</v>
      </c>
      <c r="Q37" s="73"/>
      <c r="R37" s="79">
        <v>5</v>
      </c>
      <c r="S37" s="91"/>
      <c r="T37" s="88">
        <f t="shared" si="2"/>
        <v>0</v>
      </c>
      <c r="U37" s="48">
        <f t="shared" si="5"/>
        <v>153.28571428571428</v>
      </c>
      <c r="V37" s="49">
        <f t="shared" si="6"/>
        <v>100</v>
      </c>
      <c r="W37" s="50"/>
      <c r="X37" s="54">
        <v>250</v>
      </c>
      <c r="Y37" s="5"/>
    </row>
    <row r="38" spans="1:25" ht="15" customHeight="1" hidden="1">
      <c r="A38" s="57" t="s">
        <v>39</v>
      </c>
      <c r="B38" s="52" t="s">
        <v>40</v>
      </c>
      <c r="C38" s="54"/>
      <c r="D38" s="54"/>
      <c r="E38" s="54"/>
      <c r="F38" s="53">
        <f t="shared" si="3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1"/>
        <v>0</v>
      </c>
      <c r="L38" s="54"/>
      <c r="M38" s="54"/>
      <c r="N38" s="54"/>
      <c r="O38" s="52" t="s">
        <v>40</v>
      </c>
      <c r="P38" s="55"/>
      <c r="Q38" s="73"/>
      <c r="R38" s="79"/>
      <c r="S38" s="91"/>
      <c r="T38" s="88" t="e">
        <f t="shared" si="2"/>
        <v>#DIV/0!</v>
      </c>
      <c r="U38" s="48">
        <f t="shared" si="5"/>
        <v>0</v>
      </c>
      <c r="V38" s="49">
        <f t="shared" si="6"/>
        <v>0</v>
      </c>
      <c r="W38" s="58"/>
      <c r="X38" s="54"/>
      <c r="Y38" s="5" t="e">
        <f>L38/X38*100</f>
        <v>#DIV/0!</v>
      </c>
    </row>
    <row r="39" spans="1:25" ht="23.25" customHeight="1" hidden="1">
      <c r="A39" s="57" t="s">
        <v>41</v>
      </c>
      <c r="B39" s="52" t="s">
        <v>42</v>
      </c>
      <c r="C39" s="54">
        <v>0</v>
      </c>
      <c r="D39" s="54"/>
      <c r="E39" s="54">
        <v>0</v>
      </c>
      <c r="F39" s="53">
        <f t="shared" si="3"/>
        <v>1500</v>
      </c>
      <c r="G39" s="54">
        <v>500</v>
      </c>
      <c r="H39" s="54">
        <v>500</v>
      </c>
      <c r="I39" s="54">
        <v>500</v>
      </c>
      <c r="J39" s="54"/>
      <c r="K39" s="54">
        <f t="shared" si="1"/>
        <v>0</v>
      </c>
      <c r="L39" s="54"/>
      <c r="M39" s="54"/>
      <c r="N39" s="54"/>
      <c r="O39" s="52" t="s">
        <v>42</v>
      </c>
      <c r="P39" s="55"/>
      <c r="Q39" s="73"/>
      <c r="R39" s="79"/>
      <c r="S39" s="91"/>
      <c r="T39" s="88" t="e">
        <f t="shared" si="2"/>
        <v>#DIV/0!</v>
      </c>
      <c r="U39" s="48">
        <f t="shared" si="5"/>
        <v>0</v>
      </c>
      <c r="V39" s="49">
        <f t="shared" si="6"/>
        <v>0</v>
      </c>
      <c r="W39" s="58"/>
      <c r="X39" s="54"/>
      <c r="Y39" s="5" t="e">
        <f>L39/X39*100</f>
        <v>#DIV/0!</v>
      </c>
    </row>
    <row r="40" spans="1:25" ht="36" customHeight="1">
      <c r="A40" s="57" t="s">
        <v>159</v>
      </c>
      <c r="B40" s="52"/>
      <c r="C40" s="54"/>
      <c r="D40" s="54"/>
      <c r="E40" s="54"/>
      <c r="F40" s="53"/>
      <c r="G40" s="54"/>
      <c r="H40" s="54"/>
      <c r="I40" s="54"/>
      <c r="J40" s="54"/>
      <c r="K40" s="54"/>
      <c r="L40" s="54"/>
      <c r="M40" s="54"/>
      <c r="N40" s="54"/>
      <c r="O40" s="52" t="s">
        <v>160</v>
      </c>
      <c r="P40" s="55"/>
      <c r="Q40" s="73"/>
      <c r="R40" s="79">
        <v>180</v>
      </c>
      <c r="S40" s="91"/>
      <c r="T40" s="88">
        <f t="shared" si="2"/>
        <v>0</v>
      </c>
      <c r="U40" s="48"/>
      <c r="V40" s="49"/>
      <c r="W40" s="58"/>
      <c r="X40" s="54"/>
      <c r="Y40" s="5"/>
    </row>
    <row r="41" spans="1:25" ht="19.5" customHeight="1">
      <c r="A41" s="43" t="s">
        <v>43</v>
      </c>
      <c r="B41" s="44" t="s">
        <v>44</v>
      </c>
      <c r="C41" s="45">
        <f>SUM(C42:C49)</f>
        <v>7159</v>
      </c>
      <c r="D41" s="45">
        <f>SUM(D42:D49)</f>
        <v>0</v>
      </c>
      <c r="E41" s="45" t="e">
        <f>#REF!+#REF!+E44+E45+E47+E49</f>
        <v>#REF!</v>
      </c>
      <c r="F41" s="45" t="e">
        <f>#REF!+#REF!+F44+F45+F47+F49</f>
        <v>#REF!</v>
      </c>
      <c r="G41" s="45" t="e">
        <f>#REF!+#REF!+G44+G45+G47+G49</f>
        <v>#REF!</v>
      </c>
      <c r="H41" s="45" t="e">
        <f>#REF!+#REF!+H44+H45+H47+H49</f>
        <v>#REF!</v>
      </c>
      <c r="I41" s="45" t="e">
        <f>#REF!+#REF!+I44+I45+I47+I49</f>
        <v>#REF!</v>
      </c>
      <c r="J41" s="45" t="e">
        <f>#REF!+#REF!+J44+J45+J47+J49+J46</f>
        <v>#REF!</v>
      </c>
      <c r="K41" s="45" t="e">
        <f>#REF!+#REF!+K44+K45+K47+K49+K46</f>
        <v>#REF!</v>
      </c>
      <c r="L41" s="45" t="e">
        <f>#REF!+#REF!+L44+L45+L47+L49+L46</f>
        <v>#REF!</v>
      </c>
      <c r="M41" s="45" t="e">
        <f>#REF!+#REF!+M44+M45+M47+M49+M46</f>
        <v>#REF!</v>
      </c>
      <c r="N41" s="45" t="e">
        <f>#REF!+#REF!+N44+N45+N47+N49+N46</f>
        <v>#REF!</v>
      </c>
      <c r="O41" s="44"/>
      <c r="P41" s="47">
        <v>721</v>
      </c>
      <c r="Q41" s="72" t="s">
        <v>150</v>
      </c>
      <c r="R41" s="77">
        <v>11027</v>
      </c>
      <c r="S41" s="90" t="s">
        <v>180</v>
      </c>
      <c r="T41" s="49">
        <f t="shared" si="2"/>
        <v>0.5441189806837762</v>
      </c>
      <c r="U41" s="48" t="e">
        <f>J41/G41*100</f>
        <v>#REF!</v>
      </c>
      <c r="V41" s="49" t="e">
        <f>L41/G41*100</f>
        <v>#REF!</v>
      </c>
      <c r="W41" s="50" t="e">
        <f>L41/L94*100</f>
        <v>#REF!</v>
      </c>
      <c r="X41" s="45" t="e">
        <f>#REF!+#REF!+X44+X45+X47+X49</f>
        <v>#REF!</v>
      </c>
      <c r="Y41" s="5" t="e">
        <f>L41/X41*100</f>
        <v>#REF!</v>
      </c>
    </row>
    <row r="42" spans="1:25" ht="16.5" customHeight="1">
      <c r="A42" s="57" t="s">
        <v>157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52</v>
      </c>
      <c r="P42" s="55"/>
      <c r="Q42" s="73"/>
      <c r="R42" s="79">
        <v>11017</v>
      </c>
      <c r="S42" s="91" t="s">
        <v>174</v>
      </c>
      <c r="T42" s="88">
        <f t="shared" si="2"/>
        <v>0.5446128710175184</v>
      </c>
      <c r="U42" s="48"/>
      <c r="V42" s="49"/>
      <c r="W42" s="58"/>
      <c r="X42" s="54"/>
      <c r="Y42" s="5"/>
    </row>
    <row r="43" spans="1:25" ht="0.75" customHeight="1" hidden="1">
      <c r="A43" s="57" t="s">
        <v>127</v>
      </c>
      <c r="B43" s="52"/>
      <c r="C43" s="54"/>
      <c r="D43" s="54"/>
      <c r="E43" s="54"/>
      <c r="F43" s="53"/>
      <c r="G43" s="54"/>
      <c r="H43" s="54"/>
      <c r="I43" s="54"/>
      <c r="J43" s="54"/>
      <c r="K43" s="54"/>
      <c r="L43" s="54"/>
      <c r="M43" s="54"/>
      <c r="N43" s="54"/>
      <c r="O43" s="52" t="s">
        <v>128</v>
      </c>
      <c r="P43" s="55"/>
      <c r="Q43" s="73"/>
      <c r="R43" s="79"/>
      <c r="S43" s="91"/>
      <c r="T43" s="88" t="e">
        <f t="shared" si="2"/>
        <v>#DIV/0!</v>
      </c>
      <c r="U43" s="48"/>
      <c r="V43" s="49"/>
      <c r="W43" s="58"/>
      <c r="X43" s="54"/>
      <c r="Y43" s="5"/>
    </row>
    <row r="44" spans="1:25" ht="0" customHeight="1" hidden="1">
      <c r="A44" s="57" t="s">
        <v>45</v>
      </c>
      <c r="B44" s="52"/>
      <c r="C44" s="54">
        <v>3759</v>
      </c>
      <c r="D44" s="54"/>
      <c r="E44" s="54">
        <v>5260</v>
      </c>
      <c r="F44" s="53">
        <f t="shared" si="3"/>
        <v>6321.5</v>
      </c>
      <c r="G44" s="54">
        <f>5375.5+946</f>
        <v>6321.5</v>
      </c>
      <c r="H44" s="54"/>
      <c r="I44" s="54"/>
      <c r="J44" s="54">
        <v>8120.4</v>
      </c>
      <c r="K44" s="54">
        <f t="shared" si="1"/>
        <v>6952</v>
      </c>
      <c r="L44" s="54">
        <v>6952</v>
      </c>
      <c r="M44" s="54"/>
      <c r="N44" s="54"/>
      <c r="O44" s="52" t="s">
        <v>46</v>
      </c>
      <c r="P44" s="55">
        <v>500</v>
      </c>
      <c r="Q44" s="73"/>
      <c r="R44" s="79"/>
      <c r="S44" s="91"/>
      <c r="T44" s="88" t="e">
        <f t="shared" si="2"/>
        <v>#DIV/0!</v>
      </c>
      <c r="U44" s="48">
        <f>J44/G44*100</f>
        <v>128.45685359487462</v>
      </c>
      <c r="V44" s="49">
        <f>L44/G44*100</f>
        <v>109.97389860001583</v>
      </c>
      <c r="W44" s="58"/>
      <c r="X44" s="54">
        <v>2405.8</v>
      </c>
      <c r="Y44" s="5">
        <f>L44/X44*100</f>
        <v>288.9683265441849</v>
      </c>
    </row>
    <row r="45" spans="1:25" ht="12" customHeight="1" hidden="1">
      <c r="A45" s="57" t="s">
        <v>47</v>
      </c>
      <c r="B45" s="52"/>
      <c r="C45" s="54"/>
      <c r="D45" s="54"/>
      <c r="E45" s="54"/>
      <c r="F45" s="53">
        <f t="shared" si="3"/>
        <v>22162.7</v>
      </c>
      <c r="G45" s="54"/>
      <c r="H45" s="54">
        <f>17564.9+4597.8</f>
        <v>22162.7</v>
      </c>
      <c r="I45" s="54"/>
      <c r="J45" s="54"/>
      <c r="K45" s="54">
        <f t="shared" si="1"/>
        <v>0</v>
      </c>
      <c r="L45" s="54"/>
      <c r="M45" s="54"/>
      <c r="N45" s="54"/>
      <c r="O45" s="52" t="s">
        <v>46</v>
      </c>
      <c r="P45" s="55"/>
      <c r="Q45" s="73"/>
      <c r="R45" s="79"/>
      <c r="S45" s="91"/>
      <c r="T45" s="88" t="e">
        <f t="shared" si="2"/>
        <v>#DIV/0!</v>
      </c>
      <c r="U45" s="48"/>
      <c r="V45" s="49"/>
      <c r="W45" s="58"/>
      <c r="X45" s="54">
        <v>13108.7</v>
      </c>
      <c r="Y45" s="5">
        <f>L45/X45*100</f>
        <v>0</v>
      </c>
    </row>
    <row r="46" spans="1:25" ht="12.75" customHeight="1" hidden="1">
      <c r="A46" s="57" t="s">
        <v>48</v>
      </c>
      <c r="B46" s="52"/>
      <c r="C46" s="54"/>
      <c r="D46" s="54"/>
      <c r="E46" s="54"/>
      <c r="F46" s="53">
        <f t="shared" si="3"/>
        <v>946</v>
      </c>
      <c r="G46" s="54">
        <v>946</v>
      </c>
      <c r="H46" s="54"/>
      <c r="I46" s="54"/>
      <c r="J46" s="54">
        <v>1818</v>
      </c>
      <c r="K46" s="54">
        <f t="shared" si="1"/>
        <v>1818</v>
      </c>
      <c r="L46" s="54">
        <v>1818</v>
      </c>
      <c r="M46" s="54"/>
      <c r="N46" s="54"/>
      <c r="O46" s="52"/>
      <c r="P46" s="55"/>
      <c r="Q46" s="73"/>
      <c r="R46" s="79"/>
      <c r="S46" s="91"/>
      <c r="T46" s="88" t="e">
        <f t="shared" si="2"/>
        <v>#DIV/0!</v>
      </c>
      <c r="U46" s="48">
        <f aca="true" t="shared" si="7" ref="U46:U54">J46/G46*100</f>
        <v>192.17758985200845</v>
      </c>
      <c r="V46" s="49">
        <f aca="true" t="shared" si="8" ref="V46:V54">L46/G46*100</f>
        <v>192.17758985200845</v>
      </c>
      <c r="W46" s="58"/>
      <c r="X46" s="54"/>
      <c r="Y46" s="5"/>
    </row>
    <row r="47" spans="1:25" ht="15.75" customHeight="1" hidden="1">
      <c r="A47" s="39" t="s">
        <v>49</v>
      </c>
      <c r="B47" s="52"/>
      <c r="C47" s="54">
        <v>1500</v>
      </c>
      <c r="D47" s="54"/>
      <c r="E47" s="54">
        <v>1000</v>
      </c>
      <c r="F47" s="53">
        <f t="shared" si="3"/>
        <v>1000</v>
      </c>
      <c r="G47" s="54">
        <v>1000</v>
      </c>
      <c r="H47" s="54"/>
      <c r="I47" s="54"/>
      <c r="J47" s="54">
        <v>3518.5</v>
      </c>
      <c r="K47" s="54">
        <f t="shared" si="1"/>
        <v>1846</v>
      </c>
      <c r="L47" s="54">
        <v>1846</v>
      </c>
      <c r="M47" s="54"/>
      <c r="N47" s="54"/>
      <c r="O47" s="52" t="s">
        <v>50</v>
      </c>
      <c r="P47" s="55"/>
      <c r="Q47" s="73"/>
      <c r="R47" s="79"/>
      <c r="S47" s="91"/>
      <c r="T47" s="88" t="e">
        <f t="shared" si="2"/>
        <v>#DIV/0!</v>
      </c>
      <c r="U47" s="48">
        <f t="shared" si="7"/>
        <v>351.85</v>
      </c>
      <c r="V47" s="49">
        <f t="shared" si="8"/>
        <v>184.60000000000002</v>
      </c>
      <c r="W47" s="58"/>
      <c r="X47" s="54">
        <v>590.2</v>
      </c>
      <c r="Y47" s="5">
        <f>L47/X47*100</f>
        <v>312.77533039647574</v>
      </c>
    </row>
    <row r="48" spans="1:25" ht="16.5" customHeight="1" hidden="1">
      <c r="A48" s="57" t="s">
        <v>51</v>
      </c>
      <c r="B48" s="52"/>
      <c r="C48" s="54"/>
      <c r="D48" s="54"/>
      <c r="E48" s="54">
        <v>1000</v>
      </c>
      <c r="F48" s="53">
        <f t="shared" si="3"/>
        <v>3000</v>
      </c>
      <c r="G48" s="54">
        <v>1000</v>
      </c>
      <c r="H48" s="54">
        <v>1000</v>
      </c>
      <c r="I48" s="54">
        <v>1000</v>
      </c>
      <c r="J48" s="54">
        <v>250</v>
      </c>
      <c r="K48" s="54">
        <f t="shared" si="1"/>
        <v>750</v>
      </c>
      <c r="L48" s="54">
        <v>250</v>
      </c>
      <c r="M48" s="54">
        <v>250</v>
      </c>
      <c r="N48" s="54">
        <v>250</v>
      </c>
      <c r="O48" s="52" t="s">
        <v>52</v>
      </c>
      <c r="P48" s="55">
        <f>J48+K48+L48</f>
        <v>1250</v>
      </c>
      <c r="Q48" s="73"/>
      <c r="R48" s="79"/>
      <c r="S48" s="91"/>
      <c r="T48" s="88" t="e">
        <f t="shared" si="2"/>
        <v>#DIV/0!</v>
      </c>
      <c r="U48" s="48">
        <f t="shared" si="7"/>
        <v>25</v>
      </c>
      <c r="V48" s="49">
        <f t="shared" si="8"/>
        <v>25</v>
      </c>
      <c r="W48" s="58"/>
      <c r="X48" s="54">
        <v>155.6</v>
      </c>
      <c r="Y48" s="5">
        <f>L48/X48*100</f>
        <v>160.66838046272494</v>
      </c>
    </row>
    <row r="49" spans="1:25" ht="31.5" customHeight="1">
      <c r="A49" s="57" t="s">
        <v>162</v>
      </c>
      <c r="B49" s="52"/>
      <c r="C49" s="54">
        <v>1900</v>
      </c>
      <c r="D49" s="54"/>
      <c r="E49" s="54">
        <f>SUM(E50:E51)</f>
        <v>3900</v>
      </c>
      <c r="F49" s="53">
        <f t="shared" si="3"/>
        <v>7900</v>
      </c>
      <c r="G49" s="54">
        <f>SUM(G50:G51)</f>
        <v>7900</v>
      </c>
      <c r="H49" s="54">
        <f>SUM(H50:H51)</f>
        <v>0</v>
      </c>
      <c r="I49" s="54">
        <f>SUM(I50:I51)</f>
        <v>0</v>
      </c>
      <c r="J49" s="54">
        <f>SUM(J50:J51)</f>
        <v>21100</v>
      </c>
      <c r="K49" s="54">
        <f t="shared" si="1"/>
        <v>7900</v>
      </c>
      <c r="L49" s="54">
        <f>SUM(L50:L51)</f>
        <v>7900</v>
      </c>
      <c r="M49" s="54">
        <f>SUM(M50:M51)</f>
        <v>0</v>
      </c>
      <c r="N49" s="54">
        <f>SUM(N50:N51)</f>
        <v>0</v>
      </c>
      <c r="O49" s="52" t="s">
        <v>53</v>
      </c>
      <c r="P49" s="55">
        <v>561</v>
      </c>
      <c r="Q49" s="73" t="s">
        <v>149</v>
      </c>
      <c r="R49" s="79">
        <v>10</v>
      </c>
      <c r="S49" s="91"/>
      <c r="T49" s="88">
        <f t="shared" si="2"/>
        <v>0</v>
      </c>
      <c r="U49" s="48">
        <f t="shared" si="7"/>
        <v>267.0886075949367</v>
      </c>
      <c r="V49" s="49">
        <f t="shared" si="8"/>
        <v>100</v>
      </c>
      <c r="W49" s="58"/>
      <c r="X49" s="54">
        <v>630</v>
      </c>
      <c r="Y49" s="5">
        <f>L49/X49*100</f>
        <v>1253.968253968254</v>
      </c>
    </row>
    <row r="50" spans="1:25" ht="2.25" customHeight="1" hidden="1">
      <c r="A50" s="57">
        <v>3</v>
      </c>
      <c r="B50" s="52"/>
      <c r="C50" s="54"/>
      <c r="D50" s="54"/>
      <c r="E50" s="54">
        <v>900</v>
      </c>
      <c r="F50" s="53">
        <f t="shared" si="3"/>
        <v>900</v>
      </c>
      <c r="G50" s="54">
        <v>900</v>
      </c>
      <c r="H50" s="54"/>
      <c r="I50" s="54"/>
      <c r="J50" s="54">
        <v>900</v>
      </c>
      <c r="K50" s="54">
        <f t="shared" si="1"/>
        <v>900</v>
      </c>
      <c r="L50" s="54">
        <v>900</v>
      </c>
      <c r="M50" s="54"/>
      <c r="N50" s="54"/>
      <c r="O50" s="52"/>
      <c r="P50" s="55"/>
      <c r="Q50" s="73"/>
      <c r="R50" s="79"/>
      <c r="S50" s="91"/>
      <c r="T50" s="49" t="e">
        <f t="shared" si="2"/>
        <v>#DIV/0!</v>
      </c>
      <c r="U50" s="48">
        <f t="shared" si="7"/>
        <v>100</v>
      </c>
      <c r="V50" s="49">
        <f t="shared" si="8"/>
        <v>100</v>
      </c>
      <c r="W50" s="58"/>
      <c r="X50" s="54">
        <v>630</v>
      </c>
      <c r="Y50" s="5">
        <f>L50/X50*100</f>
        <v>142.85714285714286</v>
      </c>
    </row>
    <row r="51" spans="1:25" ht="12.75" customHeight="1" hidden="1">
      <c r="A51" s="57" t="s">
        <v>54</v>
      </c>
      <c r="B51" s="52"/>
      <c r="C51" s="54"/>
      <c r="D51" s="54"/>
      <c r="E51" s="54">
        <v>3000</v>
      </c>
      <c r="F51" s="53">
        <f t="shared" si="3"/>
        <v>7000</v>
      </c>
      <c r="G51" s="54">
        <f>9000-2000</f>
        <v>7000</v>
      </c>
      <c r="H51" s="54"/>
      <c r="I51" s="54"/>
      <c r="J51" s="54">
        <v>20200</v>
      </c>
      <c r="K51" s="54">
        <f t="shared" si="1"/>
        <v>7000</v>
      </c>
      <c r="L51" s="54">
        <v>7000</v>
      </c>
      <c r="M51" s="54"/>
      <c r="N51" s="54"/>
      <c r="O51" s="52"/>
      <c r="P51" s="55"/>
      <c r="Q51" s="73"/>
      <c r="R51" s="79"/>
      <c r="S51" s="91"/>
      <c r="T51" s="49" t="e">
        <f t="shared" si="2"/>
        <v>#DIV/0!</v>
      </c>
      <c r="U51" s="48">
        <f t="shared" si="7"/>
        <v>288.57142857142856</v>
      </c>
      <c r="V51" s="49">
        <f t="shared" si="8"/>
        <v>100</v>
      </c>
      <c r="W51" s="58"/>
      <c r="X51" s="54"/>
      <c r="Y51" s="5"/>
    </row>
    <row r="52" spans="1:25" ht="24" customHeight="1">
      <c r="A52" s="43" t="s">
        <v>55</v>
      </c>
      <c r="B52" s="44" t="s">
        <v>56</v>
      </c>
      <c r="C52" s="45">
        <f>SUM(C53:C56)</f>
        <v>59545</v>
      </c>
      <c r="D52" s="45">
        <f>SUM(D53:D56)</f>
        <v>0</v>
      </c>
      <c r="E52" s="45">
        <f>SUM(E53:E56)</f>
        <v>187764.2</v>
      </c>
      <c r="F52" s="45">
        <f>SUM(F53:F56)</f>
        <v>124746.4</v>
      </c>
      <c r="G52" s="45">
        <f>SUM(G53:G56)</f>
        <v>91446.4</v>
      </c>
      <c r="H52" s="45">
        <f aca="true" t="shared" si="9" ref="H52:N52">SUM(H53:H56)</f>
        <v>33300</v>
      </c>
      <c r="I52" s="45">
        <f t="shared" si="9"/>
        <v>0</v>
      </c>
      <c r="J52" s="45">
        <f>SUM(J53:J56)</f>
        <v>286964.6</v>
      </c>
      <c r="K52" s="45">
        <f t="shared" si="9"/>
        <v>105653</v>
      </c>
      <c r="L52" s="45">
        <f t="shared" si="9"/>
        <v>99187</v>
      </c>
      <c r="M52" s="45">
        <f t="shared" si="9"/>
        <v>6466</v>
      </c>
      <c r="N52" s="45">
        <f t="shared" si="9"/>
        <v>0</v>
      </c>
      <c r="O52" s="44"/>
      <c r="P52" s="47">
        <v>7324.3</v>
      </c>
      <c r="Q52" s="72" t="s">
        <v>153</v>
      </c>
      <c r="R52" s="77">
        <v>18606.75</v>
      </c>
      <c r="S52" s="90" t="s">
        <v>186</v>
      </c>
      <c r="T52" s="49">
        <f t="shared" si="2"/>
        <v>17.423891867198734</v>
      </c>
      <c r="U52" s="48">
        <f t="shared" si="7"/>
        <v>313.8063390138923</v>
      </c>
      <c r="V52" s="49">
        <f t="shared" si="8"/>
        <v>108.46463064702382</v>
      </c>
      <c r="W52" s="50" t="e">
        <f>L52/L94*100</f>
        <v>#REF!</v>
      </c>
      <c r="X52" s="45">
        <f>SUM(X53:X56)</f>
        <v>123998.7</v>
      </c>
      <c r="Y52" s="5">
        <f>L52/X52*100</f>
        <v>79.99035473759</v>
      </c>
    </row>
    <row r="53" spans="1:25" ht="15.75">
      <c r="A53" s="57" t="s">
        <v>57</v>
      </c>
      <c r="B53" s="52"/>
      <c r="C53" s="54">
        <v>0</v>
      </c>
      <c r="D53" s="54"/>
      <c r="E53" s="54">
        <v>2500</v>
      </c>
      <c r="F53" s="53">
        <f t="shared" si="3"/>
        <v>8584.099999999999</v>
      </c>
      <c r="G53" s="54">
        <f>32888.5-19806.2-4498.2</f>
        <v>8584.099999999999</v>
      </c>
      <c r="H53" s="54"/>
      <c r="I53" s="54"/>
      <c r="J53" s="54">
        <v>10000</v>
      </c>
      <c r="K53" s="54">
        <f t="shared" si="1"/>
        <v>16466</v>
      </c>
      <c r="L53" s="54">
        <v>10000</v>
      </c>
      <c r="M53" s="54">
        <v>6466</v>
      </c>
      <c r="N53" s="54"/>
      <c r="O53" s="52" t="s">
        <v>58</v>
      </c>
      <c r="P53" s="55">
        <v>2341.4</v>
      </c>
      <c r="Q53" s="73" t="s">
        <v>151</v>
      </c>
      <c r="R53" s="79">
        <v>1939.3</v>
      </c>
      <c r="S53" s="91" t="s">
        <v>175</v>
      </c>
      <c r="T53" s="88">
        <f t="shared" si="2"/>
        <v>17.085546331150415</v>
      </c>
      <c r="U53" s="48">
        <f t="shared" si="7"/>
        <v>116.49444903950328</v>
      </c>
      <c r="V53" s="49">
        <f t="shared" si="8"/>
        <v>116.49444903950328</v>
      </c>
      <c r="W53" s="58"/>
      <c r="X53" s="54">
        <v>6400</v>
      </c>
      <c r="Y53" s="5"/>
    </row>
    <row r="54" spans="1:25" ht="15.75">
      <c r="A54" s="57" t="s">
        <v>59</v>
      </c>
      <c r="B54" s="52"/>
      <c r="C54" s="54">
        <v>53545</v>
      </c>
      <c r="D54" s="54">
        <v>-5700</v>
      </c>
      <c r="E54" s="54">
        <v>127031.4</v>
      </c>
      <c r="F54" s="53">
        <f t="shared" si="3"/>
        <v>8995.800000000003</v>
      </c>
      <c r="G54" s="54">
        <f>100242.1-95206.8+2960.5</f>
        <v>7995.800000000003</v>
      </c>
      <c r="H54" s="54">
        <v>1000</v>
      </c>
      <c r="I54" s="54"/>
      <c r="J54" s="54">
        <f>854.5+445.8</f>
        <v>1300.3</v>
      </c>
      <c r="K54" s="54">
        <f t="shared" si="1"/>
        <v>0</v>
      </c>
      <c r="L54" s="54"/>
      <c r="M54" s="54"/>
      <c r="N54" s="54"/>
      <c r="O54" s="52" t="s">
        <v>60</v>
      </c>
      <c r="P54" s="55">
        <v>1340</v>
      </c>
      <c r="Q54" s="73" t="s">
        <v>152</v>
      </c>
      <c r="R54" s="79">
        <v>3331.98</v>
      </c>
      <c r="S54" s="91" t="s">
        <v>185</v>
      </c>
      <c r="T54" s="88">
        <f t="shared" si="2"/>
        <v>18.703293537176094</v>
      </c>
      <c r="U54" s="48">
        <f t="shared" si="7"/>
        <v>16.26228770104304</v>
      </c>
      <c r="V54" s="49">
        <f t="shared" si="8"/>
        <v>0</v>
      </c>
      <c r="W54" s="58"/>
      <c r="X54" s="54">
        <v>103230.5</v>
      </c>
      <c r="Y54" s="5">
        <f>L54/X54*100</f>
        <v>0</v>
      </c>
    </row>
    <row r="55" spans="1:25" ht="15.75">
      <c r="A55" s="57" t="s">
        <v>131</v>
      </c>
      <c r="B55" s="52"/>
      <c r="C55" s="54"/>
      <c r="D55" s="54"/>
      <c r="E55" s="54"/>
      <c r="F55" s="53">
        <f t="shared" si="3"/>
        <v>0</v>
      </c>
      <c r="G55" s="54"/>
      <c r="H55" s="54"/>
      <c r="I55" s="54"/>
      <c r="J55" s="54">
        <v>37360</v>
      </c>
      <c r="K55" s="54">
        <f t="shared" si="1"/>
        <v>8239</v>
      </c>
      <c r="L55" s="54">
        <v>8239</v>
      </c>
      <c r="M55" s="54"/>
      <c r="N55" s="54"/>
      <c r="O55" s="52" t="s">
        <v>61</v>
      </c>
      <c r="P55" s="55">
        <v>3642.9</v>
      </c>
      <c r="Q55" s="73"/>
      <c r="R55" s="79">
        <v>13335.47</v>
      </c>
      <c r="S55" s="91" t="s">
        <v>176</v>
      </c>
      <c r="T55" s="88">
        <f t="shared" si="2"/>
        <v>17.153426163457304</v>
      </c>
      <c r="U55" s="48"/>
      <c r="V55" s="49"/>
      <c r="W55" s="58"/>
      <c r="X55" s="54"/>
      <c r="Y55" s="5"/>
    </row>
    <row r="56" spans="1:25" ht="0" customHeight="1" hidden="1">
      <c r="A56" s="57" t="s">
        <v>121</v>
      </c>
      <c r="B56" s="52"/>
      <c r="C56" s="54">
        <v>6000</v>
      </c>
      <c r="D56" s="54">
        <v>5700</v>
      </c>
      <c r="E56" s="54">
        <f>SUM(E57:E60)</f>
        <v>58232.8</v>
      </c>
      <c r="F56" s="53">
        <f t="shared" si="3"/>
        <v>107166.5</v>
      </c>
      <c r="G56" s="54">
        <f>SUM(G57:G60)</f>
        <v>74866.5</v>
      </c>
      <c r="H56" s="54">
        <f>SUM(H57:H60)</f>
        <v>32300</v>
      </c>
      <c r="I56" s="54">
        <f>SUM(I57:I60)</f>
        <v>0</v>
      </c>
      <c r="J56" s="54">
        <f>SUM(J57:J60)</f>
        <v>238304.3</v>
      </c>
      <c r="K56" s="54">
        <f t="shared" si="1"/>
        <v>80948</v>
      </c>
      <c r="L56" s="54">
        <f>SUM(L57:L60)</f>
        <v>80948</v>
      </c>
      <c r="M56" s="54">
        <f>SUM(M57:M60)</f>
        <v>0</v>
      </c>
      <c r="N56" s="54">
        <f>SUM(N57:N60)</f>
        <v>0</v>
      </c>
      <c r="O56" s="52" t="s">
        <v>62</v>
      </c>
      <c r="P56" s="55"/>
      <c r="Q56" s="73"/>
      <c r="R56" s="79"/>
      <c r="S56" s="91"/>
      <c r="T56" s="49" t="e">
        <f t="shared" si="2"/>
        <v>#DIV/0!</v>
      </c>
      <c r="U56" s="48">
        <f>J56/G56*100</f>
        <v>318.3056507249571</v>
      </c>
      <c r="V56" s="49">
        <f>L56/G56*100</f>
        <v>108.12312583064521</v>
      </c>
      <c r="W56" s="58"/>
      <c r="X56" s="54">
        <f>SUM(X57:X60)</f>
        <v>14368.2</v>
      </c>
      <c r="Y56" s="5">
        <f>L56/X56*100</f>
        <v>563.3830264055345</v>
      </c>
    </row>
    <row r="57" spans="1:25" ht="12.75" customHeight="1" hidden="1">
      <c r="A57" s="57" t="s">
        <v>63</v>
      </c>
      <c r="B57" s="52"/>
      <c r="C57" s="54"/>
      <c r="D57" s="54"/>
      <c r="E57" s="54">
        <v>45600</v>
      </c>
      <c r="F57" s="53">
        <f t="shared" si="3"/>
        <v>62143.5</v>
      </c>
      <c r="G57" s="59">
        <f>64227-2590+506.5</f>
        <v>62143.5</v>
      </c>
      <c r="H57" s="54"/>
      <c r="I57" s="54"/>
      <c r="J57" s="54">
        <v>224152.9</v>
      </c>
      <c r="K57" s="54">
        <f t="shared" si="1"/>
        <v>68280</v>
      </c>
      <c r="L57" s="54">
        <v>68280</v>
      </c>
      <c r="M57" s="54"/>
      <c r="N57" s="54"/>
      <c r="O57" s="52"/>
      <c r="P57" s="55"/>
      <c r="Q57" s="73"/>
      <c r="R57" s="79"/>
      <c r="S57" s="91"/>
      <c r="T57" s="49" t="e">
        <f t="shared" si="2"/>
        <v>#DIV/0!</v>
      </c>
      <c r="U57" s="48">
        <f>J57/G57*100</f>
        <v>360.7020846910779</v>
      </c>
      <c r="V57" s="49">
        <f>L57/G57*100</f>
        <v>109.87472543387481</v>
      </c>
      <c r="W57" s="58"/>
      <c r="X57" s="54">
        <v>3635.7</v>
      </c>
      <c r="Y57" s="5">
        <f>L57/X57*100</f>
        <v>1878.0427428005612</v>
      </c>
    </row>
    <row r="58" spans="1:25" ht="12.75" customHeight="1" hidden="1">
      <c r="A58" s="57" t="s">
        <v>64</v>
      </c>
      <c r="B58" s="52"/>
      <c r="C58" s="54"/>
      <c r="D58" s="54"/>
      <c r="E58" s="54"/>
      <c r="F58" s="53">
        <f t="shared" si="3"/>
        <v>1033</v>
      </c>
      <c r="G58" s="54">
        <v>1033</v>
      </c>
      <c r="H58" s="54"/>
      <c r="I58" s="54"/>
      <c r="J58" s="54"/>
      <c r="K58" s="54">
        <f t="shared" si="1"/>
        <v>0</v>
      </c>
      <c r="L58" s="54"/>
      <c r="M58" s="54"/>
      <c r="N58" s="54"/>
      <c r="O58" s="52"/>
      <c r="P58" s="55"/>
      <c r="Q58" s="73"/>
      <c r="R58" s="79"/>
      <c r="S58" s="91"/>
      <c r="T58" s="49" t="e">
        <f t="shared" si="2"/>
        <v>#DIV/0!</v>
      </c>
      <c r="U58" s="48">
        <f>J58/G58*100</f>
        <v>0</v>
      </c>
      <c r="V58" s="49">
        <f>L58/G58*100</f>
        <v>0</v>
      </c>
      <c r="W58" s="58"/>
      <c r="X58" s="54"/>
      <c r="Y58" s="5" t="e">
        <f>L58/X58*100</f>
        <v>#DIV/0!</v>
      </c>
    </row>
    <row r="59" spans="1:25" ht="11.25" customHeight="1" hidden="1">
      <c r="A59" s="57" t="s">
        <v>65</v>
      </c>
      <c r="B59" s="52"/>
      <c r="C59" s="54"/>
      <c r="D59" s="54"/>
      <c r="E59" s="54"/>
      <c r="F59" s="53">
        <f t="shared" si="3"/>
        <v>32300</v>
      </c>
      <c r="G59" s="54"/>
      <c r="H59" s="54">
        <v>32300</v>
      </c>
      <c r="I59" s="54"/>
      <c r="J59" s="54"/>
      <c r="K59" s="54">
        <f t="shared" si="1"/>
        <v>0</v>
      </c>
      <c r="L59" s="54"/>
      <c r="M59" s="54"/>
      <c r="N59" s="54"/>
      <c r="O59" s="52"/>
      <c r="P59" s="55"/>
      <c r="Q59" s="73"/>
      <c r="R59" s="79"/>
      <c r="S59" s="91"/>
      <c r="T59" s="49" t="e">
        <f t="shared" si="2"/>
        <v>#DIV/0!</v>
      </c>
      <c r="U59" s="48"/>
      <c r="V59" s="49"/>
      <c r="W59" s="58"/>
      <c r="X59" s="54">
        <v>4052.8</v>
      </c>
      <c r="Y59" s="5"/>
    </row>
    <row r="60" spans="1:25" ht="13.5" customHeight="1" hidden="1">
      <c r="A60" s="57" t="s">
        <v>66</v>
      </c>
      <c r="B60" s="52"/>
      <c r="C60" s="54"/>
      <c r="D60" s="54"/>
      <c r="E60" s="54">
        <v>12632.8</v>
      </c>
      <c r="F60" s="53">
        <f t="shared" si="3"/>
        <v>11690</v>
      </c>
      <c r="G60" s="54">
        <v>11690</v>
      </c>
      <c r="H60" s="54"/>
      <c r="I60" s="54"/>
      <c r="J60" s="54">
        <v>14151.4</v>
      </c>
      <c r="K60" s="54">
        <f t="shared" si="1"/>
        <v>12668</v>
      </c>
      <c r="L60" s="54">
        <v>12668</v>
      </c>
      <c r="M60" s="54"/>
      <c r="N60" s="54"/>
      <c r="O60" s="52"/>
      <c r="P60" s="55"/>
      <c r="Q60" s="73"/>
      <c r="R60" s="79"/>
      <c r="S60" s="91"/>
      <c r="T60" s="49" t="e">
        <f t="shared" si="2"/>
        <v>#DIV/0!</v>
      </c>
      <c r="U60" s="48">
        <f>J60/G60*100</f>
        <v>121.05560307955517</v>
      </c>
      <c r="V60" s="49">
        <f>L60/G60*100</f>
        <v>108.366124893071</v>
      </c>
      <c r="W60" s="58"/>
      <c r="X60" s="54">
        <v>6679.7</v>
      </c>
      <c r="Y60" s="5">
        <f>L60/X60*100</f>
        <v>189.64923574412026</v>
      </c>
    </row>
    <row r="61" spans="1:25" ht="15" customHeight="1" hidden="1">
      <c r="A61" s="43" t="s">
        <v>67</v>
      </c>
      <c r="B61" s="44" t="s">
        <v>68</v>
      </c>
      <c r="C61" s="54"/>
      <c r="D61" s="54"/>
      <c r="E61" s="45">
        <f aca="true" t="shared" si="10" ref="E61:N61">E63</f>
        <v>491.8</v>
      </c>
      <c r="F61" s="45">
        <f t="shared" si="10"/>
        <v>130</v>
      </c>
      <c r="G61" s="45">
        <f t="shared" si="10"/>
        <v>130</v>
      </c>
      <c r="H61" s="45">
        <f t="shared" si="10"/>
        <v>0</v>
      </c>
      <c r="I61" s="45">
        <f t="shared" si="10"/>
        <v>0</v>
      </c>
      <c r="J61" s="45">
        <f>J63</f>
        <v>930</v>
      </c>
      <c r="K61" s="45">
        <f t="shared" si="10"/>
        <v>140</v>
      </c>
      <c r="L61" s="45">
        <f t="shared" si="10"/>
        <v>140</v>
      </c>
      <c r="M61" s="45">
        <f t="shared" si="10"/>
        <v>0</v>
      </c>
      <c r="N61" s="45">
        <f t="shared" si="10"/>
        <v>0</v>
      </c>
      <c r="O61" s="44"/>
      <c r="P61" s="47"/>
      <c r="Q61" s="72"/>
      <c r="R61" s="77"/>
      <c r="S61" s="90"/>
      <c r="T61" s="49" t="e">
        <f t="shared" si="2"/>
        <v>#DIV/0!</v>
      </c>
      <c r="U61" s="48">
        <f>J61/G61*100</f>
        <v>715.3846153846155</v>
      </c>
      <c r="V61" s="49">
        <f>L61/G61*100</f>
        <v>107.6923076923077</v>
      </c>
      <c r="W61" s="58"/>
      <c r="X61" s="45">
        <f>X63</f>
        <v>0</v>
      </c>
      <c r="Y61" s="5"/>
    </row>
    <row r="62" spans="1:25" ht="12" customHeight="1" hidden="1">
      <c r="A62" s="57" t="s">
        <v>69</v>
      </c>
      <c r="B62" s="52" t="s">
        <v>70</v>
      </c>
      <c r="C62" s="54"/>
      <c r="D62" s="54"/>
      <c r="E62" s="45"/>
      <c r="F62" s="53">
        <f t="shared" si="3"/>
        <v>0</v>
      </c>
      <c r="G62" s="45"/>
      <c r="H62" s="45"/>
      <c r="I62" s="45"/>
      <c r="J62" s="45"/>
      <c r="K62" s="45"/>
      <c r="L62" s="45"/>
      <c r="M62" s="45"/>
      <c r="N62" s="45"/>
      <c r="O62" s="52" t="s">
        <v>70</v>
      </c>
      <c r="P62" s="55"/>
      <c r="Q62" s="73"/>
      <c r="R62" s="79"/>
      <c r="S62" s="91"/>
      <c r="T62" s="49" t="e">
        <f t="shared" si="2"/>
        <v>#DIV/0!</v>
      </c>
      <c r="U62" s="48"/>
      <c r="V62" s="49"/>
      <c r="W62" s="58"/>
      <c r="X62" s="45"/>
      <c r="Y62" s="5"/>
    </row>
    <row r="63" spans="1:25" ht="12" customHeight="1" hidden="1">
      <c r="A63" s="57" t="s">
        <v>71</v>
      </c>
      <c r="B63" s="52"/>
      <c r="C63" s="54"/>
      <c r="D63" s="54"/>
      <c r="E63" s="54">
        <v>491.8</v>
      </c>
      <c r="F63" s="53">
        <f t="shared" si="3"/>
        <v>130</v>
      </c>
      <c r="G63" s="54">
        <v>130</v>
      </c>
      <c r="H63" s="54"/>
      <c r="I63" s="54"/>
      <c r="J63" s="54">
        <v>930</v>
      </c>
      <c r="K63" s="54">
        <f t="shared" si="1"/>
        <v>140</v>
      </c>
      <c r="L63" s="54">
        <v>140</v>
      </c>
      <c r="M63" s="54"/>
      <c r="N63" s="54"/>
      <c r="O63" s="52" t="s">
        <v>126</v>
      </c>
      <c r="P63" s="55"/>
      <c r="Q63" s="73"/>
      <c r="R63" s="79"/>
      <c r="S63" s="91"/>
      <c r="T63" s="49" t="e">
        <f t="shared" si="2"/>
        <v>#DIV/0!</v>
      </c>
      <c r="U63" s="48">
        <f aca="true" t="shared" si="11" ref="U63:U70">J63/G63*100</f>
        <v>715.3846153846155</v>
      </c>
      <c r="V63" s="49">
        <f aca="true" t="shared" si="12" ref="V63:V70">L63/G63*100</f>
        <v>107.6923076923077</v>
      </c>
      <c r="W63" s="58"/>
      <c r="X63" s="54"/>
      <c r="Y63" s="5"/>
    </row>
    <row r="64" spans="1:25" ht="15" customHeight="1" hidden="1">
      <c r="A64" s="43" t="s">
        <v>72</v>
      </c>
      <c r="B64" s="44" t="s">
        <v>73</v>
      </c>
      <c r="C64" s="45">
        <f aca="true" t="shared" si="13" ref="C64:N64">SUM(C65:C68)</f>
        <v>868060</v>
      </c>
      <c r="D64" s="45">
        <f t="shared" si="13"/>
        <v>0</v>
      </c>
      <c r="E64" s="45">
        <f t="shared" si="13"/>
        <v>972144.5</v>
      </c>
      <c r="F64" s="45">
        <f t="shared" si="13"/>
        <v>939774.4</v>
      </c>
      <c r="G64" s="45">
        <f t="shared" si="13"/>
        <v>482904.39999999997</v>
      </c>
      <c r="H64" s="45">
        <f t="shared" si="13"/>
        <v>391088.5</v>
      </c>
      <c r="I64" s="45">
        <f t="shared" si="13"/>
        <v>65781.5</v>
      </c>
      <c r="J64" s="45">
        <f t="shared" si="13"/>
        <v>723596.9</v>
      </c>
      <c r="K64" s="45">
        <f t="shared" si="13"/>
        <v>1129931.1</v>
      </c>
      <c r="L64" s="45">
        <f t="shared" si="13"/>
        <v>582000</v>
      </c>
      <c r="M64" s="45">
        <f t="shared" si="13"/>
        <v>484038.6</v>
      </c>
      <c r="N64" s="45">
        <f t="shared" si="13"/>
        <v>63892.5</v>
      </c>
      <c r="O64" s="44"/>
      <c r="P64" s="47"/>
      <c r="Q64" s="72"/>
      <c r="R64" s="77"/>
      <c r="S64" s="90"/>
      <c r="T64" s="49" t="e">
        <f t="shared" si="2"/>
        <v>#DIV/0!</v>
      </c>
      <c r="U64" s="48">
        <f t="shared" si="11"/>
        <v>149.84268107724844</v>
      </c>
      <c r="V64" s="49">
        <f t="shared" si="12"/>
        <v>120.52074903438445</v>
      </c>
      <c r="W64" s="50" t="e">
        <f>L64/L94*100</f>
        <v>#REF!</v>
      </c>
      <c r="X64" s="45">
        <f>SUM(X65:X68)</f>
        <v>497109.89999999997</v>
      </c>
      <c r="Y64" s="5">
        <f aca="true" t="shared" si="14" ref="Y64:Y70">L64/X64*100</f>
        <v>117.07672689680895</v>
      </c>
    </row>
    <row r="65" spans="1:25" ht="15.75" customHeight="1" hidden="1">
      <c r="A65" s="57" t="s">
        <v>74</v>
      </c>
      <c r="B65" s="52"/>
      <c r="C65" s="54">
        <v>273586</v>
      </c>
      <c r="D65" s="54"/>
      <c r="E65" s="54">
        <v>297228</v>
      </c>
      <c r="F65" s="53">
        <f t="shared" si="3"/>
        <v>307666.6</v>
      </c>
      <c r="G65" s="54">
        <f>266621.4+3925.8</f>
        <v>270547.2</v>
      </c>
      <c r="H65" s="54">
        <f>148+151.1</f>
        <v>299.1</v>
      </c>
      <c r="I65" s="54">
        <v>36820.3</v>
      </c>
      <c r="J65" s="54">
        <v>378102.7</v>
      </c>
      <c r="K65" s="54">
        <f>L65+M65+N65</f>
        <v>365365.7</v>
      </c>
      <c r="L65" s="54">
        <v>322946</v>
      </c>
      <c r="M65" s="54"/>
      <c r="N65" s="54">
        <v>42419.7</v>
      </c>
      <c r="O65" s="52" t="s">
        <v>75</v>
      </c>
      <c r="P65" s="55"/>
      <c r="Q65" s="73"/>
      <c r="R65" s="79"/>
      <c r="S65" s="91"/>
      <c r="T65" s="49" t="e">
        <f t="shared" si="2"/>
        <v>#DIV/0!</v>
      </c>
      <c r="U65" s="48">
        <f t="shared" si="11"/>
        <v>139.75480064107114</v>
      </c>
      <c r="V65" s="49">
        <f t="shared" si="12"/>
        <v>119.36771106853075</v>
      </c>
      <c r="W65" s="58"/>
      <c r="X65" s="54">
        <v>144966.1</v>
      </c>
      <c r="Y65" s="5">
        <f t="shared" si="14"/>
        <v>222.7734622094407</v>
      </c>
    </row>
    <row r="66" spans="1:25" ht="15" customHeight="1" hidden="1">
      <c r="A66" s="57" t="s">
        <v>76</v>
      </c>
      <c r="B66" s="52"/>
      <c r="C66" s="54">
        <v>560216</v>
      </c>
      <c r="D66" s="54"/>
      <c r="E66" s="54">
        <v>630304.6</v>
      </c>
      <c r="F66" s="53">
        <f t="shared" si="3"/>
        <v>584069.1</v>
      </c>
      <c r="G66" s="54">
        <f>229015.3+1537.8-49348.1</f>
        <v>181204.99999999997</v>
      </c>
      <c r="H66" s="54">
        <f>388910.2+322</f>
        <v>389232.2</v>
      </c>
      <c r="I66" s="54">
        <f>19789.6+25-6182.7</f>
        <v>13631.899999999998</v>
      </c>
      <c r="J66" s="54">
        <v>303240.7</v>
      </c>
      <c r="K66" s="54">
        <f>L66+M66+N66</f>
        <v>717186.4</v>
      </c>
      <c r="L66" s="54">
        <v>221625</v>
      </c>
      <c r="M66" s="54">
        <f>10772.6+447892+24724</f>
        <v>483388.6</v>
      </c>
      <c r="N66" s="54">
        <f>13347.8-1175</f>
        <v>12172.8</v>
      </c>
      <c r="O66" s="52" t="s">
        <v>77</v>
      </c>
      <c r="P66" s="55"/>
      <c r="Q66" s="73"/>
      <c r="R66" s="79"/>
      <c r="S66" s="91"/>
      <c r="T66" s="49" t="e">
        <f t="shared" si="2"/>
        <v>#DIV/0!</v>
      </c>
      <c r="U66" s="48">
        <f t="shared" si="11"/>
        <v>167.34676195469223</v>
      </c>
      <c r="V66" s="49">
        <f t="shared" si="12"/>
        <v>122.30622775309735</v>
      </c>
      <c r="W66" s="58"/>
      <c r="X66" s="54">
        <v>322667</v>
      </c>
      <c r="Y66" s="5">
        <f t="shared" si="14"/>
        <v>68.68536292834409</v>
      </c>
    </row>
    <row r="67" spans="1:25" ht="16.5" customHeight="1" hidden="1">
      <c r="A67" s="57" t="s">
        <v>78</v>
      </c>
      <c r="B67" s="52"/>
      <c r="C67" s="54">
        <v>3320</v>
      </c>
      <c r="D67" s="54"/>
      <c r="E67" s="54">
        <v>13350</v>
      </c>
      <c r="F67" s="53">
        <f t="shared" si="3"/>
        <v>18884.4</v>
      </c>
      <c r="G67" s="54">
        <f>4600+170+100-2190.6</f>
        <v>2679.4</v>
      </c>
      <c r="H67" s="54">
        <v>1557.2</v>
      </c>
      <c r="I67" s="54">
        <f>15244.9-597.1</f>
        <v>14647.8</v>
      </c>
      <c r="J67" s="54">
        <v>4580</v>
      </c>
      <c r="K67" s="54">
        <f t="shared" si="1"/>
        <v>14030</v>
      </c>
      <c r="L67" s="54">
        <v>4080</v>
      </c>
      <c r="M67" s="54">
        <v>650</v>
      </c>
      <c r="N67" s="54">
        <v>9300</v>
      </c>
      <c r="O67" s="52" t="s">
        <v>79</v>
      </c>
      <c r="P67" s="55"/>
      <c r="Q67" s="73"/>
      <c r="R67" s="79"/>
      <c r="S67" s="91"/>
      <c r="T67" s="49" t="e">
        <f t="shared" si="2"/>
        <v>#DIV/0!</v>
      </c>
      <c r="U67" s="48">
        <f t="shared" si="11"/>
        <v>170.93379114727176</v>
      </c>
      <c r="V67" s="49">
        <f t="shared" si="12"/>
        <v>152.27289691722027</v>
      </c>
      <c r="W67" s="58"/>
      <c r="X67" s="54">
        <v>12560</v>
      </c>
      <c r="Y67" s="5">
        <f t="shared" si="14"/>
        <v>32.48407643312102</v>
      </c>
    </row>
    <row r="68" spans="1:25" ht="15.75" customHeight="1" hidden="1">
      <c r="A68" s="57" t="s">
        <v>122</v>
      </c>
      <c r="B68" s="52"/>
      <c r="C68" s="54">
        <v>30938</v>
      </c>
      <c r="D68" s="54"/>
      <c r="E68" s="54">
        <f>SUM(E69:E70)</f>
        <v>31261.9</v>
      </c>
      <c r="F68" s="53">
        <f t="shared" si="3"/>
        <v>29154.3</v>
      </c>
      <c r="G68" s="54">
        <f>SUM(G69:G70)</f>
        <v>28472.8</v>
      </c>
      <c r="H68" s="54">
        <f>SUM(H69:H70)</f>
        <v>0</v>
      </c>
      <c r="I68" s="54">
        <f>SUM(I69:I70)</f>
        <v>681.5</v>
      </c>
      <c r="J68" s="54">
        <f>SUM(J69:J70)</f>
        <v>37673.5</v>
      </c>
      <c r="K68" s="54">
        <f t="shared" si="1"/>
        <v>33349</v>
      </c>
      <c r="L68" s="54">
        <f>SUM(L69:L70)</f>
        <v>33349</v>
      </c>
      <c r="M68" s="54">
        <f>SUM(M69:M70)</f>
        <v>0</v>
      </c>
      <c r="N68" s="54">
        <f>SUM(N69:N70)</f>
        <v>0</v>
      </c>
      <c r="O68" s="52" t="s">
        <v>80</v>
      </c>
      <c r="P68" s="55"/>
      <c r="Q68" s="73"/>
      <c r="R68" s="79"/>
      <c r="S68" s="91"/>
      <c r="T68" s="49" t="e">
        <f t="shared" si="2"/>
        <v>#DIV/0!</v>
      </c>
      <c r="U68" s="48">
        <f t="shared" si="11"/>
        <v>132.3139979208227</v>
      </c>
      <c r="V68" s="49">
        <f t="shared" si="12"/>
        <v>117.1258183248574</v>
      </c>
      <c r="W68" s="58"/>
      <c r="X68" s="54">
        <f>SUM(X69:X70)</f>
        <v>16916.8</v>
      </c>
      <c r="Y68" s="5">
        <f t="shared" si="14"/>
        <v>197.13539203631893</v>
      </c>
    </row>
    <row r="69" spans="1:25" ht="1.5" customHeight="1" hidden="1">
      <c r="A69" s="57" t="s">
        <v>81</v>
      </c>
      <c r="B69" s="52"/>
      <c r="C69" s="54"/>
      <c r="D69" s="54"/>
      <c r="E69" s="54">
        <v>20082.2</v>
      </c>
      <c r="F69" s="53">
        <f t="shared" si="3"/>
        <v>17974.6</v>
      </c>
      <c r="G69" s="54">
        <f>17103.1+10.6+179.4</f>
        <v>17293.1</v>
      </c>
      <c r="H69" s="54"/>
      <c r="I69" s="54">
        <v>681.5</v>
      </c>
      <c r="J69" s="54">
        <v>23991.8</v>
      </c>
      <c r="K69" s="54">
        <f t="shared" si="1"/>
        <v>20317</v>
      </c>
      <c r="L69" s="54">
        <v>20317</v>
      </c>
      <c r="M69" s="54"/>
      <c r="N69" s="54"/>
      <c r="O69" s="52"/>
      <c r="P69" s="55"/>
      <c r="Q69" s="73"/>
      <c r="R69" s="79"/>
      <c r="S69" s="91"/>
      <c r="T69" s="49" t="e">
        <f t="shared" si="2"/>
        <v>#DIV/0!</v>
      </c>
      <c r="U69" s="48">
        <f t="shared" si="11"/>
        <v>138.7362589703408</v>
      </c>
      <c r="V69" s="49">
        <f t="shared" si="12"/>
        <v>117.48616500222633</v>
      </c>
      <c r="W69" s="58"/>
      <c r="X69" s="54">
        <v>9658.6</v>
      </c>
      <c r="Y69" s="5">
        <f t="shared" si="14"/>
        <v>210.35139668274905</v>
      </c>
    </row>
    <row r="70" spans="1:25" ht="13.5" customHeight="1" hidden="1">
      <c r="A70" s="57" t="s">
        <v>82</v>
      </c>
      <c r="B70" s="52"/>
      <c r="C70" s="54"/>
      <c r="D70" s="54"/>
      <c r="E70" s="54">
        <v>11179.7</v>
      </c>
      <c r="F70" s="53">
        <f t="shared" si="3"/>
        <v>11179.7</v>
      </c>
      <c r="G70" s="54">
        <v>11179.7</v>
      </c>
      <c r="H70" s="54"/>
      <c r="I70" s="54"/>
      <c r="J70" s="54">
        <v>13681.7</v>
      </c>
      <c r="K70" s="54">
        <f t="shared" si="1"/>
        <v>13032</v>
      </c>
      <c r="L70" s="54">
        <v>13032</v>
      </c>
      <c r="M70" s="54"/>
      <c r="N70" s="54"/>
      <c r="O70" s="52"/>
      <c r="P70" s="55"/>
      <c r="Q70" s="73"/>
      <c r="R70" s="79"/>
      <c r="S70" s="91"/>
      <c r="T70" s="49" t="e">
        <f t="shared" si="2"/>
        <v>#DIV/0!</v>
      </c>
      <c r="U70" s="48">
        <f t="shared" si="11"/>
        <v>122.37984919094428</v>
      </c>
      <c r="V70" s="49">
        <f t="shared" si="12"/>
        <v>116.5684231240552</v>
      </c>
      <c r="W70" s="58"/>
      <c r="X70" s="54">
        <v>7258.2</v>
      </c>
      <c r="Y70" s="5">
        <f t="shared" si="14"/>
        <v>179.5486484252294</v>
      </c>
    </row>
    <row r="71" spans="1:25" ht="18" customHeight="1">
      <c r="A71" s="43" t="s">
        <v>72</v>
      </c>
      <c r="B71" s="44" t="s">
        <v>73</v>
      </c>
      <c r="C71" s="45"/>
      <c r="D71" s="45"/>
      <c r="E71" s="45"/>
      <c r="F71" s="46"/>
      <c r="G71" s="45"/>
      <c r="H71" s="45"/>
      <c r="I71" s="45"/>
      <c r="J71" s="45"/>
      <c r="K71" s="45"/>
      <c r="L71" s="45"/>
      <c r="M71" s="45"/>
      <c r="N71" s="45"/>
      <c r="O71" s="44"/>
      <c r="P71" s="47">
        <v>20</v>
      </c>
      <c r="Q71" s="72" t="s">
        <v>154</v>
      </c>
      <c r="R71" s="77">
        <v>125</v>
      </c>
      <c r="S71" s="90" t="s">
        <v>173</v>
      </c>
      <c r="T71" s="49">
        <f t="shared" si="2"/>
        <v>38.4</v>
      </c>
      <c r="U71" s="48"/>
      <c r="V71" s="49"/>
      <c r="W71" s="58"/>
      <c r="X71" s="54"/>
      <c r="Y71" s="5"/>
    </row>
    <row r="72" spans="1:25" ht="20.25" customHeight="1">
      <c r="A72" s="57" t="s">
        <v>163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79</v>
      </c>
      <c r="P72" s="55">
        <v>20</v>
      </c>
      <c r="Q72" s="73" t="s">
        <v>154</v>
      </c>
      <c r="R72" s="79">
        <v>125</v>
      </c>
      <c r="S72" s="91" t="s">
        <v>173</v>
      </c>
      <c r="T72" s="88">
        <f t="shared" si="2"/>
        <v>38.4</v>
      </c>
      <c r="U72" s="48"/>
      <c r="V72" s="49"/>
      <c r="W72" s="58"/>
      <c r="X72" s="54"/>
      <c r="Y72" s="5"/>
    </row>
    <row r="73" spans="1:25" ht="23.25" customHeight="1">
      <c r="A73" s="43" t="s">
        <v>132</v>
      </c>
      <c r="B73" s="44" t="s">
        <v>83</v>
      </c>
      <c r="C73" s="45">
        <f aca="true" t="shared" si="15" ref="C73:N73">SUM(C75:C77)</f>
        <v>2273</v>
      </c>
      <c r="D73" s="45">
        <f t="shared" si="15"/>
        <v>0</v>
      </c>
      <c r="E73" s="45">
        <f t="shared" si="15"/>
        <v>3527.3</v>
      </c>
      <c r="F73" s="45">
        <f t="shared" si="15"/>
        <v>3137.3</v>
      </c>
      <c r="G73" s="45">
        <f t="shared" si="15"/>
        <v>3137.3</v>
      </c>
      <c r="H73" s="45">
        <f t="shared" si="15"/>
        <v>0</v>
      </c>
      <c r="I73" s="45">
        <f t="shared" si="15"/>
        <v>0</v>
      </c>
      <c r="J73" s="45">
        <f t="shared" si="15"/>
        <v>3289</v>
      </c>
      <c r="K73" s="45">
        <f t="shared" si="15"/>
        <v>3120</v>
      </c>
      <c r="L73" s="45">
        <f t="shared" si="15"/>
        <v>3120</v>
      </c>
      <c r="M73" s="45">
        <f t="shared" si="15"/>
        <v>0</v>
      </c>
      <c r="N73" s="45">
        <f t="shared" si="15"/>
        <v>0</v>
      </c>
      <c r="O73" s="44"/>
      <c r="P73" s="47">
        <v>3350</v>
      </c>
      <c r="Q73" s="72" t="s">
        <v>155</v>
      </c>
      <c r="R73" s="77">
        <v>9519.6</v>
      </c>
      <c r="S73" s="90" t="s">
        <v>177</v>
      </c>
      <c r="T73" s="49">
        <f t="shared" si="2"/>
        <v>13.623156435144331</v>
      </c>
      <c r="U73" s="48">
        <f>J73/G73*100</f>
        <v>104.8353679915851</v>
      </c>
      <c r="V73" s="49">
        <f>L73/G73*100</f>
        <v>99.4485704268001</v>
      </c>
      <c r="W73" s="60" t="e">
        <f>L73/L94*100</f>
        <v>#REF!</v>
      </c>
      <c r="X73" s="45">
        <f>SUM(X75:X77)</f>
        <v>1570.6</v>
      </c>
      <c r="Y73" s="5">
        <f>L73/X73*100</f>
        <v>198.65019737679867</v>
      </c>
    </row>
    <row r="74" spans="1:25" ht="17.25" customHeight="1">
      <c r="A74" s="57" t="s">
        <v>120</v>
      </c>
      <c r="B74" s="52"/>
      <c r="C74" s="54">
        <v>4478</v>
      </c>
      <c r="D74" s="54"/>
      <c r="E74" s="54">
        <v>5358.2</v>
      </c>
      <c r="F74" s="53">
        <f>G74+H74+I74</f>
        <v>3072.6</v>
      </c>
      <c r="G74" s="54">
        <v>3072.6</v>
      </c>
      <c r="H74" s="54"/>
      <c r="I74" s="54"/>
      <c r="J74" s="54">
        <f>3106.5</f>
        <v>3106.5</v>
      </c>
      <c r="K74" s="54">
        <f>L74+M74+N74</f>
        <v>2700</v>
      </c>
      <c r="L74" s="54">
        <v>2700</v>
      </c>
      <c r="M74" s="54"/>
      <c r="N74" s="54"/>
      <c r="O74" s="52" t="s">
        <v>84</v>
      </c>
      <c r="P74" s="55">
        <v>3350</v>
      </c>
      <c r="Q74" s="73" t="s">
        <v>155</v>
      </c>
      <c r="R74" s="79">
        <v>9519.6</v>
      </c>
      <c r="S74" s="91" t="s">
        <v>177</v>
      </c>
      <c r="T74" s="88">
        <f t="shared" si="2"/>
        <v>13.623156435144331</v>
      </c>
      <c r="U74" s="48"/>
      <c r="V74" s="49"/>
      <c r="W74" s="60"/>
      <c r="X74" s="45"/>
      <c r="Y74" s="5"/>
    </row>
    <row r="75" spans="1:25" ht="0" customHeight="1" hidden="1">
      <c r="A75" s="57" t="s">
        <v>85</v>
      </c>
      <c r="B75" s="52"/>
      <c r="C75" s="54">
        <v>400</v>
      </c>
      <c r="D75" s="54"/>
      <c r="E75" s="54">
        <v>400</v>
      </c>
      <c r="F75" s="53">
        <f t="shared" si="3"/>
        <v>400</v>
      </c>
      <c r="G75" s="54">
        <v>400</v>
      </c>
      <c r="H75" s="54"/>
      <c r="I75" s="54"/>
      <c r="J75" s="54">
        <f>100+400</f>
        <v>500</v>
      </c>
      <c r="K75" s="54">
        <f t="shared" si="1"/>
        <v>400</v>
      </c>
      <c r="L75" s="54">
        <v>400</v>
      </c>
      <c r="M75" s="54"/>
      <c r="N75" s="54"/>
      <c r="O75" s="52" t="s">
        <v>86</v>
      </c>
      <c r="P75" s="55"/>
      <c r="Q75" s="73"/>
      <c r="R75" s="79"/>
      <c r="S75" s="91"/>
      <c r="T75" s="49" t="e">
        <f t="shared" si="2"/>
        <v>#DIV/0!</v>
      </c>
      <c r="U75" s="48">
        <f>J75/G75*100</f>
        <v>125</v>
      </c>
      <c r="V75" s="49">
        <f>L75/G75*100</f>
        <v>100</v>
      </c>
      <c r="W75" s="58"/>
      <c r="X75" s="54">
        <v>275</v>
      </c>
      <c r="Y75" s="5">
        <f>L75/X75*100</f>
        <v>145.45454545454547</v>
      </c>
    </row>
    <row r="76" spans="1:25" ht="15.75" customHeight="1" hidden="1">
      <c r="A76" s="57" t="s">
        <v>87</v>
      </c>
      <c r="B76" s="52"/>
      <c r="C76" s="54">
        <v>480</v>
      </c>
      <c r="D76" s="54"/>
      <c r="E76" s="54">
        <v>480</v>
      </c>
      <c r="F76" s="53">
        <f t="shared" si="3"/>
        <v>480</v>
      </c>
      <c r="G76" s="54">
        <v>480</v>
      </c>
      <c r="H76" s="54"/>
      <c r="I76" s="54"/>
      <c r="J76" s="54">
        <f>50+500</f>
        <v>550</v>
      </c>
      <c r="K76" s="54">
        <f t="shared" si="1"/>
        <v>480</v>
      </c>
      <c r="L76" s="54">
        <v>480</v>
      </c>
      <c r="M76" s="54"/>
      <c r="N76" s="54"/>
      <c r="O76" s="52" t="s">
        <v>88</v>
      </c>
      <c r="P76" s="55"/>
      <c r="Q76" s="73"/>
      <c r="R76" s="79"/>
      <c r="S76" s="91"/>
      <c r="T76" s="49" t="e">
        <f t="shared" si="2"/>
        <v>#DIV/0!</v>
      </c>
      <c r="U76" s="48">
        <f>J76/G76*100</f>
        <v>114.58333333333333</v>
      </c>
      <c r="V76" s="49">
        <f>L76/G76*100</f>
        <v>100</v>
      </c>
      <c r="W76" s="58"/>
      <c r="X76" s="54">
        <v>313.3</v>
      </c>
      <c r="Y76" s="5">
        <f>L76/X76*100</f>
        <v>153.20778806255984</v>
      </c>
    </row>
    <row r="77" spans="1:25" ht="25.5" customHeight="1" hidden="1">
      <c r="A77" s="57" t="s">
        <v>89</v>
      </c>
      <c r="B77" s="52"/>
      <c r="C77" s="54">
        <v>1393</v>
      </c>
      <c r="D77" s="54"/>
      <c r="E77" s="54">
        <v>2647.3</v>
      </c>
      <c r="F77" s="53">
        <f t="shared" si="3"/>
        <v>2257.3</v>
      </c>
      <c r="G77" s="54">
        <v>2257.3</v>
      </c>
      <c r="H77" s="54"/>
      <c r="I77" s="54"/>
      <c r="J77" s="54">
        <v>2239</v>
      </c>
      <c r="K77" s="54">
        <f t="shared" si="1"/>
        <v>2240</v>
      </c>
      <c r="L77" s="54">
        <v>2240</v>
      </c>
      <c r="M77" s="54"/>
      <c r="N77" s="54"/>
      <c r="O77" s="52" t="s">
        <v>90</v>
      </c>
      <c r="P77" s="55"/>
      <c r="Q77" s="73"/>
      <c r="R77" s="79"/>
      <c r="S77" s="91"/>
      <c r="T77" s="49" t="e">
        <f t="shared" si="2"/>
        <v>#DIV/0!</v>
      </c>
      <c r="U77" s="48">
        <f>J77/G77*100</f>
        <v>99.18929694768084</v>
      </c>
      <c r="V77" s="49">
        <f>L77/G77*100</f>
        <v>99.23359766092233</v>
      </c>
      <c r="W77" s="58"/>
      <c r="X77" s="54">
        <v>982.3</v>
      </c>
      <c r="Y77" s="5">
        <f>L77/X77*100</f>
        <v>228.03624147409144</v>
      </c>
    </row>
    <row r="78" spans="1:25" ht="19.5" customHeight="1">
      <c r="A78" s="43" t="s">
        <v>94</v>
      </c>
      <c r="B78" s="44">
        <v>1000</v>
      </c>
      <c r="C78" s="45" t="e">
        <f>SUM(#REF!)</f>
        <v>#REF!</v>
      </c>
      <c r="D78" s="45" t="e">
        <f>SUM(#REF!)</f>
        <v>#REF!</v>
      </c>
      <c r="E78" s="45">
        <f aca="true" t="shared" si="16" ref="E78:N78">SUM(E80:E80)</f>
        <v>0</v>
      </c>
      <c r="F78" s="45">
        <f t="shared" si="16"/>
        <v>0</v>
      </c>
      <c r="G78" s="45">
        <f t="shared" si="16"/>
        <v>0</v>
      </c>
      <c r="H78" s="45">
        <f t="shared" si="16"/>
        <v>0</v>
      </c>
      <c r="I78" s="45">
        <f t="shared" si="16"/>
        <v>0</v>
      </c>
      <c r="J78" s="45">
        <f t="shared" si="16"/>
        <v>0</v>
      </c>
      <c r="K78" s="45">
        <f t="shared" si="16"/>
        <v>0</v>
      </c>
      <c r="L78" s="45">
        <f t="shared" si="16"/>
        <v>0</v>
      </c>
      <c r="M78" s="45">
        <f t="shared" si="16"/>
        <v>0</v>
      </c>
      <c r="N78" s="45">
        <f t="shared" si="16"/>
        <v>0</v>
      </c>
      <c r="O78" s="44"/>
      <c r="P78" s="47">
        <v>10</v>
      </c>
      <c r="Q78" s="72"/>
      <c r="R78" s="77">
        <v>382</v>
      </c>
      <c r="S78" s="90" t="s">
        <v>184</v>
      </c>
      <c r="T78" s="49">
        <f t="shared" si="2"/>
        <v>24.973821989528798</v>
      </c>
      <c r="U78" s="48"/>
      <c r="V78" s="49"/>
      <c r="W78" s="58"/>
      <c r="X78" s="54"/>
      <c r="Y78" s="5"/>
    </row>
    <row r="79" spans="1:25" ht="19.5" customHeight="1">
      <c r="A79" s="51" t="s">
        <v>95</v>
      </c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52" t="s">
        <v>156</v>
      </c>
      <c r="P79" s="47"/>
      <c r="Q79" s="72"/>
      <c r="R79" s="79">
        <v>380.8</v>
      </c>
      <c r="S79" s="90" t="s">
        <v>178</v>
      </c>
      <c r="T79" s="88">
        <f aca="true" t="shared" si="17" ref="T79:T94">S79/R79*100</f>
        <v>25</v>
      </c>
      <c r="U79" s="48"/>
      <c r="V79" s="49"/>
      <c r="W79" s="58"/>
      <c r="X79" s="54"/>
      <c r="Y79" s="5"/>
    </row>
    <row r="80" spans="1:25" ht="0.75" customHeight="1" hidden="1">
      <c r="A80" s="57" t="s">
        <v>92</v>
      </c>
      <c r="B80" s="52"/>
      <c r="C80" s="54"/>
      <c r="D80" s="54"/>
      <c r="E80" s="54"/>
      <c r="F80" s="53">
        <f aca="true" t="shared" si="18" ref="F80:F91">G80+H80+I80</f>
        <v>0</v>
      </c>
      <c r="G80" s="54"/>
      <c r="H80" s="54"/>
      <c r="I80" s="54"/>
      <c r="J80" s="54"/>
      <c r="K80" s="54"/>
      <c r="L80" s="54"/>
      <c r="M80" s="54"/>
      <c r="N80" s="54"/>
      <c r="O80" s="52" t="s">
        <v>93</v>
      </c>
      <c r="P80" s="55"/>
      <c r="Q80" s="73"/>
      <c r="R80" s="78"/>
      <c r="S80" s="91"/>
      <c r="T80" s="88" t="e">
        <f t="shared" si="17"/>
        <v>#DIV/0!</v>
      </c>
      <c r="U80" s="48" t="e">
        <f>J80/G80*100</f>
        <v>#DIV/0!</v>
      </c>
      <c r="V80" s="49"/>
      <c r="W80" s="58"/>
      <c r="X80" s="54"/>
      <c r="Y80" s="5"/>
    </row>
    <row r="81" spans="1:25" ht="0" customHeight="1" hidden="1">
      <c r="A81" s="57" t="s">
        <v>95</v>
      </c>
      <c r="B81" s="52"/>
      <c r="C81" s="54">
        <v>6460</v>
      </c>
      <c r="D81" s="54"/>
      <c r="E81" s="54">
        <v>5800</v>
      </c>
      <c r="F81" s="53">
        <f t="shared" si="18"/>
        <v>6300</v>
      </c>
      <c r="G81" s="54">
        <f>5800+500</f>
        <v>6300</v>
      </c>
      <c r="H81" s="54"/>
      <c r="I81" s="54"/>
      <c r="J81" s="54">
        <v>7180</v>
      </c>
      <c r="K81" s="54">
        <f t="shared" si="1"/>
        <v>7180</v>
      </c>
      <c r="L81" s="54">
        <v>7180</v>
      </c>
      <c r="M81" s="54"/>
      <c r="N81" s="54"/>
      <c r="O81" s="52">
        <v>1001</v>
      </c>
      <c r="P81" s="55">
        <v>10</v>
      </c>
      <c r="Q81" s="73"/>
      <c r="R81" s="78"/>
      <c r="S81" s="91"/>
      <c r="T81" s="88" t="e">
        <f t="shared" si="17"/>
        <v>#DIV/0!</v>
      </c>
      <c r="U81" s="48">
        <f>J81/G81*100</f>
        <v>113.96825396825396</v>
      </c>
      <c r="V81" s="49">
        <f>L81/G81*100</f>
        <v>113.96825396825396</v>
      </c>
      <c r="W81" s="58"/>
      <c r="X81" s="54">
        <v>3441.8</v>
      </c>
      <c r="Y81" s="5">
        <f aca="true" t="shared" si="19" ref="Y81:Y89">L81/X81*100</f>
        <v>208.6117729095241</v>
      </c>
    </row>
    <row r="82" spans="1:25" ht="15" customHeight="1" hidden="1">
      <c r="A82" s="57" t="s">
        <v>96</v>
      </c>
      <c r="B82" s="52"/>
      <c r="C82" s="54">
        <v>25317</v>
      </c>
      <c r="D82" s="54"/>
      <c r="E82" s="54">
        <v>32596</v>
      </c>
      <c r="F82" s="53">
        <f t="shared" si="18"/>
        <v>34309.3</v>
      </c>
      <c r="G82" s="54">
        <v>142</v>
      </c>
      <c r="H82" s="54">
        <v>30586</v>
      </c>
      <c r="I82" s="54">
        <f>3360.8+220.5</f>
        <v>3581.3</v>
      </c>
      <c r="J82" s="54">
        <v>417.6</v>
      </c>
      <c r="K82" s="54">
        <f t="shared" si="1"/>
        <v>42185</v>
      </c>
      <c r="L82" s="54">
        <v>417.6</v>
      </c>
      <c r="M82" s="54">
        <v>38249</v>
      </c>
      <c r="N82" s="54">
        <v>3518.4</v>
      </c>
      <c r="O82" s="52">
        <v>1002</v>
      </c>
      <c r="P82" s="55"/>
      <c r="Q82" s="73"/>
      <c r="R82" s="78"/>
      <c r="S82" s="91"/>
      <c r="T82" s="88" t="e">
        <f t="shared" si="17"/>
        <v>#DIV/0!</v>
      </c>
      <c r="U82" s="48">
        <f>J82/G82*100</f>
        <v>294.0845070422535</v>
      </c>
      <c r="V82" s="49"/>
      <c r="W82" s="58"/>
      <c r="X82" s="54">
        <v>14181.6</v>
      </c>
      <c r="Y82" s="5">
        <f t="shared" si="19"/>
        <v>2.944660687087494</v>
      </c>
    </row>
    <row r="83" spans="1:25" ht="14.25" customHeight="1" hidden="1">
      <c r="A83" s="57" t="s">
        <v>97</v>
      </c>
      <c r="B83" s="52"/>
      <c r="C83" s="54"/>
      <c r="D83" s="54"/>
      <c r="E83" s="54"/>
      <c r="F83" s="53">
        <f t="shared" si="18"/>
        <v>0</v>
      </c>
      <c r="G83" s="54"/>
      <c r="H83" s="54"/>
      <c r="I83" s="54"/>
      <c r="J83" s="54"/>
      <c r="K83" s="54">
        <f aca="true" t="shared" si="20" ref="K83:K89">L83+M83+N83</f>
        <v>0</v>
      </c>
      <c r="L83" s="54"/>
      <c r="M83" s="54"/>
      <c r="N83" s="54"/>
      <c r="O83" s="52" t="s">
        <v>98</v>
      </c>
      <c r="P83" s="55"/>
      <c r="Q83" s="73"/>
      <c r="R83" s="78"/>
      <c r="S83" s="91"/>
      <c r="T83" s="88" t="e">
        <f t="shared" si="17"/>
        <v>#DIV/0!</v>
      </c>
      <c r="U83" s="48" t="e">
        <f>J83/G83*100</f>
        <v>#DIV/0!</v>
      </c>
      <c r="V83" s="49" t="e">
        <f>L83/G83*100</f>
        <v>#DIV/0!</v>
      </c>
      <c r="W83" s="58"/>
      <c r="X83" s="54"/>
      <c r="Y83" s="5" t="e">
        <f t="shared" si="19"/>
        <v>#DIV/0!</v>
      </c>
    </row>
    <row r="84" spans="1:25" ht="0" customHeight="1" hidden="1">
      <c r="A84" s="57" t="s">
        <v>99</v>
      </c>
      <c r="B84" s="52"/>
      <c r="C84" s="54">
        <v>9420</v>
      </c>
      <c r="D84" s="54"/>
      <c r="E84" s="54">
        <v>10380</v>
      </c>
      <c r="F84" s="53">
        <f t="shared" si="18"/>
        <v>19459.4</v>
      </c>
      <c r="G84" s="54">
        <v>10380</v>
      </c>
      <c r="H84" s="54">
        <v>9079.4</v>
      </c>
      <c r="I84" s="54"/>
      <c r="J84" s="54"/>
      <c r="K84" s="54">
        <f t="shared" si="20"/>
        <v>17092</v>
      </c>
      <c r="L84" s="54"/>
      <c r="M84" s="54">
        <f>1008+14548+1536</f>
        <v>17092</v>
      </c>
      <c r="N84" s="54"/>
      <c r="O84" s="52">
        <v>1004</v>
      </c>
      <c r="P84" s="55"/>
      <c r="Q84" s="73"/>
      <c r="R84" s="78"/>
      <c r="S84" s="91"/>
      <c r="T84" s="88" t="e">
        <f t="shared" si="17"/>
        <v>#DIV/0!</v>
      </c>
      <c r="U84" s="48">
        <f>J84/G84*100</f>
        <v>0</v>
      </c>
      <c r="V84" s="49">
        <f>L84/G84*100</f>
        <v>0</v>
      </c>
      <c r="W84" s="58"/>
      <c r="X84" s="54">
        <v>6400.4</v>
      </c>
      <c r="Y84" s="5">
        <f t="shared" si="19"/>
        <v>0</v>
      </c>
    </row>
    <row r="85" spans="1:25" ht="15.75" customHeight="1" hidden="1">
      <c r="A85" s="57" t="s">
        <v>123</v>
      </c>
      <c r="B85" s="52"/>
      <c r="C85" s="54">
        <v>24435</v>
      </c>
      <c r="D85" s="54">
        <v>-4551</v>
      </c>
      <c r="E85" s="54">
        <v>18065</v>
      </c>
      <c r="F85" s="53">
        <f t="shared" si="18"/>
        <v>18065</v>
      </c>
      <c r="G85" s="54"/>
      <c r="H85" s="54">
        <v>18065</v>
      </c>
      <c r="I85" s="54"/>
      <c r="J85" s="54">
        <v>300</v>
      </c>
      <c r="K85" s="54">
        <f t="shared" si="20"/>
        <v>22492</v>
      </c>
      <c r="L85" s="54">
        <v>261</v>
      </c>
      <c r="M85" s="54">
        <v>22231</v>
      </c>
      <c r="N85" s="54"/>
      <c r="O85" s="52">
        <v>1006</v>
      </c>
      <c r="P85" s="55"/>
      <c r="Q85" s="73"/>
      <c r="R85" s="78"/>
      <c r="S85" s="91"/>
      <c r="T85" s="88" t="e">
        <f t="shared" si="17"/>
        <v>#DIV/0!</v>
      </c>
      <c r="U85" s="48"/>
      <c r="V85" s="49"/>
      <c r="W85" s="58"/>
      <c r="X85" s="54">
        <v>9504.4</v>
      </c>
      <c r="Y85" s="5">
        <f t="shared" si="19"/>
        <v>2.7460965447582173</v>
      </c>
    </row>
    <row r="86" spans="1:25" ht="24" customHeight="1" hidden="1">
      <c r="A86" s="57" t="s">
        <v>100</v>
      </c>
      <c r="B86" s="52" t="s">
        <v>101</v>
      </c>
      <c r="C86" s="54"/>
      <c r="D86" s="54"/>
      <c r="E86" s="54">
        <v>4600</v>
      </c>
      <c r="F86" s="53">
        <f t="shared" si="18"/>
        <v>7600</v>
      </c>
      <c r="G86" s="54">
        <v>7600</v>
      </c>
      <c r="H86" s="54"/>
      <c r="I86" s="54"/>
      <c r="J86" s="54">
        <v>5257</v>
      </c>
      <c r="K86" s="54">
        <f t="shared" si="20"/>
        <v>5200</v>
      </c>
      <c r="L86" s="54">
        <f>4600+600</f>
        <v>5200</v>
      </c>
      <c r="M86" s="54"/>
      <c r="N86" s="54"/>
      <c r="O86" s="52" t="s">
        <v>101</v>
      </c>
      <c r="P86" s="55"/>
      <c r="Q86" s="73"/>
      <c r="R86" s="78"/>
      <c r="S86" s="91"/>
      <c r="T86" s="88" t="e">
        <f t="shared" si="17"/>
        <v>#DIV/0!</v>
      </c>
      <c r="U86" s="48">
        <f>J86/G86*100</f>
        <v>69.17105263157895</v>
      </c>
      <c r="V86" s="49">
        <f>L86/G86*100</f>
        <v>68.42105263157895</v>
      </c>
      <c r="W86" s="58"/>
      <c r="X86" s="54">
        <v>3408.6</v>
      </c>
      <c r="Y86" s="5">
        <f t="shared" si="19"/>
        <v>152.55530129672005</v>
      </c>
    </row>
    <row r="87" spans="1:25" ht="24" customHeight="1">
      <c r="A87" s="57" t="s">
        <v>99</v>
      </c>
      <c r="B87" s="52"/>
      <c r="C87" s="54"/>
      <c r="D87" s="54"/>
      <c r="E87" s="54"/>
      <c r="F87" s="53"/>
      <c r="G87" s="54"/>
      <c r="H87" s="54"/>
      <c r="I87" s="54"/>
      <c r="J87" s="54"/>
      <c r="K87" s="54"/>
      <c r="L87" s="54"/>
      <c r="M87" s="54"/>
      <c r="N87" s="54"/>
      <c r="O87" s="52" t="s">
        <v>166</v>
      </c>
      <c r="P87" s="55"/>
      <c r="Q87" s="73"/>
      <c r="R87" s="79">
        <v>1.2</v>
      </c>
      <c r="S87" s="91" t="s">
        <v>183</v>
      </c>
      <c r="T87" s="88">
        <f t="shared" si="17"/>
        <v>16.666666666666668</v>
      </c>
      <c r="U87" s="48"/>
      <c r="V87" s="49"/>
      <c r="W87" s="58"/>
      <c r="X87" s="54"/>
      <c r="Y87" s="5"/>
    </row>
    <row r="88" spans="1:25" ht="18.75" customHeight="1">
      <c r="A88" s="43" t="s">
        <v>91</v>
      </c>
      <c r="B88" s="44" t="s">
        <v>136</v>
      </c>
      <c r="C88" s="45">
        <f aca="true" t="shared" si="21" ref="C88:N88">SUM(C89:C91)</f>
        <v>114339</v>
      </c>
      <c r="D88" s="45">
        <f t="shared" si="21"/>
        <v>0</v>
      </c>
      <c r="E88" s="45">
        <f t="shared" si="21"/>
        <v>178445</v>
      </c>
      <c r="F88" s="45">
        <f t="shared" si="21"/>
        <v>146408.2</v>
      </c>
      <c r="G88" s="45">
        <f t="shared" si="21"/>
        <v>146408.2</v>
      </c>
      <c r="H88" s="45">
        <f t="shared" si="21"/>
        <v>0</v>
      </c>
      <c r="I88" s="45">
        <f t="shared" si="21"/>
        <v>0</v>
      </c>
      <c r="J88" s="45">
        <f t="shared" si="21"/>
        <v>186361.5</v>
      </c>
      <c r="K88" s="45">
        <f t="shared" si="21"/>
        <v>185337.5</v>
      </c>
      <c r="L88" s="45">
        <f t="shared" si="21"/>
        <v>186361.5</v>
      </c>
      <c r="M88" s="45">
        <f t="shared" si="21"/>
        <v>0</v>
      </c>
      <c r="N88" s="45">
        <f t="shared" si="21"/>
        <v>0</v>
      </c>
      <c r="O88" s="44"/>
      <c r="P88" s="47">
        <v>70</v>
      </c>
      <c r="Q88" s="72"/>
      <c r="R88" s="77">
        <v>3830</v>
      </c>
      <c r="S88" s="90" t="s">
        <v>179</v>
      </c>
      <c r="T88" s="49">
        <f t="shared" si="17"/>
        <v>0.835509138381201</v>
      </c>
      <c r="U88" s="48">
        <f>J88/G88*100</f>
        <v>127.28897698352961</v>
      </c>
      <c r="V88" s="49">
        <f>L88/G88*100</f>
        <v>127.28897698352961</v>
      </c>
      <c r="W88" s="50" t="e">
        <f>L88/L94*100</f>
        <v>#REF!</v>
      </c>
      <c r="X88" s="45">
        <f>SUM(X89:X92)</f>
        <v>39732.5</v>
      </c>
      <c r="Y88" s="5">
        <f t="shared" si="19"/>
        <v>469.04045806329833</v>
      </c>
    </row>
    <row r="89" spans="1:25" ht="2.25" customHeight="1" hidden="1">
      <c r="A89" s="57" t="s">
        <v>102</v>
      </c>
      <c r="B89" s="52"/>
      <c r="C89" s="54">
        <v>114339</v>
      </c>
      <c r="D89" s="54"/>
      <c r="E89" s="54">
        <v>178445</v>
      </c>
      <c r="F89" s="53">
        <f t="shared" si="18"/>
        <v>146408.2</v>
      </c>
      <c r="G89" s="54">
        <v>146408.2</v>
      </c>
      <c r="H89" s="54"/>
      <c r="I89" s="54"/>
      <c r="J89" s="54">
        <v>185337.5</v>
      </c>
      <c r="K89" s="54">
        <f t="shared" si="20"/>
        <v>185337.5</v>
      </c>
      <c r="L89" s="54">
        <f>185337.5</f>
        <v>185337.5</v>
      </c>
      <c r="M89" s="54"/>
      <c r="N89" s="54"/>
      <c r="O89" s="52" t="s">
        <v>103</v>
      </c>
      <c r="P89" s="55"/>
      <c r="Q89" s="73"/>
      <c r="R89" s="79"/>
      <c r="S89" s="91"/>
      <c r="T89" s="49" t="e">
        <f t="shared" si="17"/>
        <v>#DIV/0!</v>
      </c>
      <c r="U89" s="48">
        <f>J89/G89*100</f>
        <v>126.58956260646602</v>
      </c>
      <c r="V89" s="49">
        <f>L89/G89*100</f>
        <v>126.58956260646602</v>
      </c>
      <c r="W89" s="42"/>
      <c r="X89" s="54">
        <v>39732.5</v>
      </c>
      <c r="Y89" s="5">
        <f t="shared" si="19"/>
        <v>466.46322280249166</v>
      </c>
    </row>
    <row r="90" spans="1:25" ht="15.75" customHeight="1" hidden="1">
      <c r="A90" s="57" t="s">
        <v>104</v>
      </c>
      <c r="B90" s="52"/>
      <c r="C90" s="54"/>
      <c r="D90" s="54"/>
      <c r="E90" s="54"/>
      <c r="F90" s="53">
        <f t="shared" si="18"/>
        <v>0</v>
      </c>
      <c r="G90" s="54"/>
      <c r="H90" s="54"/>
      <c r="I90" s="54"/>
      <c r="J90" s="54"/>
      <c r="K90" s="54"/>
      <c r="L90" s="54"/>
      <c r="M90" s="54"/>
      <c r="N90" s="54"/>
      <c r="O90" s="52" t="s">
        <v>105</v>
      </c>
      <c r="P90" s="55"/>
      <c r="Q90" s="73"/>
      <c r="R90" s="79"/>
      <c r="S90" s="91"/>
      <c r="T90" s="49" t="e">
        <f t="shared" si="17"/>
        <v>#DIV/0!</v>
      </c>
      <c r="U90" s="48"/>
      <c r="V90" s="49"/>
      <c r="W90" s="42"/>
      <c r="X90" s="54"/>
      <c r="Y90" s="5"/>
    </row>
    <row r="91" spans="1:25" ht="16.5" customHeight="1" hidden="1">
      <c r="A91" s="57" t="s">
        <v>106</v>
      </c>
      <c r="B91" s="52"/>
      <c r="C91" s="54"/>
      <c r="D91" s="54"/>
      <c r="E91" s="54"/>
      <c r="F91" s="53">
        <f t="shared" si="18"/>
        <v>0</v>
      </c>
      <c r="G91" s="54"/>
      <c r="H91" s="54"/>
      <c r="I91" s="54"/>
      <c r="J91" s="54">
        <v>1024</v>
      </c>
      <c r="K91" s="54"/>
      <c r="L91" s="54">
        <v>1024</v>
      </c>
      <c r="M91" s="54"/>
      <c r="N91" s="54"/>
      <c r="O91" s="52" t="s">
        <v>107</v>
      </c>
      <c r="P91" s="55"/>
      <c r="Q91" s="73"/>
      <c r="R91" s="79"/>
      <c r="S91" s="91"/>
      <c r="T91" s="49" t="e">
        <f t="shared" si="17"/>
        <v>#DIV/0!</v>
      </c>
      <c r="U91" s="48" t="e">
        <f>J91/G91*100</f>
        <v>#DIV/0!</v>
      </c>
      <c r="V91" s="49"/>
      <c r="W91" s="42"/>
      <c r="X91" s="54"/>
      <c r="Y91" s="5"/>
    </row>
    <row r="92" spans="1:25" ht="18" customHeight="1">
      <c r="A92" s="57" t="s">
        <v>137</v>
      </c>
      <c r="B92" s="52"/>
      <c r="C92" s="54"/>
      <c r="D92" s="54"/>
      <c r="E92" s="54"/>
      <c r="F92" s="53"/>
      <c r="G92" s="54"/>
      <c r="H92" s="54"/>
      <c r="I92" s="54"/>
      <c r="J92" s="54"/>
      <c r="K92" s="54"/>
      <c r="L92" s="54"/>
      <c r="M92" s="54"/>
      <c r="N92" s="54"/>
      <c r="O92" s="52" t="s">
        <v>105</v>
      </c>
      <c r="P92" s="55">
        <v>70</v>
      </c>
      <c r="Q92" s="73"/>
      <c r="R92" s="79">
        <v>3830</v>
      </c>
      <c r="S92" s="91" t="s">
        <v>179</v>
      </c>
      <c r="T92" s="88">
        <f t="shared" si="17"/>
        <v>0.835509138381201</v>
      </c>
      <c r="U92" s="48" t="e">
        <f>J92/G92*100</f>
        <v>#DIV/0!</v>
      </c>
      <c r="V92" s="49" t="e">
        <f>L92/G92*100</f>
        <v>#DIV/0!</v>
      </c>
      <c r="W92" s="42"/>
      <c r="X92" s="54"/>
      <c r="Y92" s="5"/>
    </row>
    <row r="93" spans="1:25" ht="0" customHeight="1" hidden="1">
      <c r="A93" s="61" t="s">
        <v>130</v>
      </c>
      <c r="B93" s="62"/>
      <c r="C93" s="63"/>
      <c r="D93" s="63"/>
      <c r="E93" s="63"/>
      <c r="F93" s="64"/>
      <c r="G93" s="63"/>
      <c r="H93" s="63"/>
      <c r="I93" s="63"/>
      <c r="J93" s="63"/>
      <c r="K93" s="63"/>
      <c r="L93" s="63"/>
      <c r="M93" s="63"/>
      <c r="N93" s="63"/>
      <c r="O93" s="62" t="s">
        <v>129</v>
      </c>
      <c r="P93" s="65"/>
      <c r="Q93" s="74"/>
      <c r="R93" s="81"/>
      <c r="S93" s="92"/>
      <c r="T93" s="49" t="e">
        <f t="shared" si="17"/>
        <v>#DIV/0!</v>
      </c>
      <c r="U93" s="48"/>
      <c r="V93" s="49"/>
      <c r="W93" s="42"/>
      <c r="X93" s="54"/>
      <c r="Y93" s="5"/>
    </row>
    <row r="94" spans="1:26" ht="21.75" customHeight="1" thickBot="1">
      <c r="A94" s="66" t="s">
        <v>108</v>
      </c>
      <c r="B94" s="67"/>
      <c r="C94" s="68" t="e">
        <f>SUM(C14+C36+C41+C52+C64+C73+#REF!+#REF!+C88)</f>
        <v>#REF!</v>
      </c>
      <c r="D94" s="68" t="e">
        <f>SUM(D14+D36+D41+D52+D64+D73+#REF!+#REF!+D88)</f>
        <v>#REF!</v>
      </c>
      <c r="E94" s="69" t="e">
        <f>SUM(E14+E36+E41+E52+E61+E64+E73+#REF!+#REF!+E88)</f>
        <v>#REF!</v>
      </c>
      <c r="F94" s="69" t="e">
        <f>SUM(F14+F36+F41+F52+F61+F64+F73+#REF!+#REF!+F88)</f>
        <v>#REF!</v>
      </c>
      <c r="G94" s="69" t="e">
        <f>SUM(G14+G36+G41+G52+G61+G64+G73+#REF!+#REF!+G88)</f>
        <v>#REF!</v>
      </c>
      <c r="H94" s="69" t="e">
        <f>SUM(H14+H36+H41+H52+H61+H64+H73+#REF!+#REF!+H88)</f>
        <v>#REF!</v>
      </c>
      <c r="I94" s="69" t="e">
        <f>SUM(I14+I36+I41+I52+I61+I64+I73+#REF!+#REF!+I88)</f>
        <v>#REF!</v>
      </c>
      <c r="J94" s="69" t="e">
        <f>SUM(J14+J36+J41+J52+J61+J64+J73+#REF!+#REF!+J88)</f>
        <v>#REF!</v>
      </c>
      <c r="K94" s="69" t="e">
        <f>SUM(K14+K36+K41+K52+K61+K64+K73+#REF!+#REF!+K88)</f>
        <v>#REF!</v>
      </c>
      <c r="L94" s="69" t="e">
        <f>SUM(L14+L36+L41+L52+L61+L64+L73+#REF!+#REF!+L88)</f>
        <v>#REF!</v>
      </c>
      <c r="M94" s="69" t="e">
        <f>SUM(M14+M36+M41+M52+M61+M64+M73+#REF!+#REF!+M88)</f>
        <v>#REF!</v>
      </c>
      <c r="N94" s="69" t="e">
        <f>SUM(N14+N36+N41+N52+N61+N64+N73+#REF!+#REF!+N88)</f>
        <v>#REF!</v>
      </c>
      <c r="O94" s="67"/>
      <c r="P94" s="70">
        <v>18086</v>
      </c>
      <c r="Q94" s="75">
        <v>209.459</v>
      </c>
      <c r="R94" s="82">
        <f>R14+R32+R36+R41+R52+R71+R73+R78+R88</f>
        <v>59761.42</v>
      </c>
      <c r="S94" s="93">
        <v>6684.18</v>
      </c>
      <c r="T94" s="49">
        <f t="shared" si="17"/>
        <v>11.184774391237692</v>
      </c>
      <c r="U94" s="48" t="e">
        <f>J94/G94*100</f>
        <v>#REF!</v>
      </c>
      <c r="V94" s="49" t="e">
        <f>L94/G94*100</f>
        <v>#REF!</v>
      </c>
      <c r="W94" s="71" t="e">
        <f>SUM(W14:W89)</f>
        <v>#REF!</v>
      </c>
      <c r="X94" s="46" t="e">
        <f>SUM(X14+X36+X41+X52+X61+X64+X73+#REF!+#REF!+X88)</f>
        <v>#REF!</v>
      </c>
      <c r="Y94" s="5" t="e">
        <f>L94/X94*100</f>
        <v>#REF!</v>
      </c>
      <c r="Z94" s="84"/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6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2019-04-26T08:53:50Z</cp:lastPrinted>
  <dcterms:created xsi:type="dcterms:W3CDTF">2007-10-24T16:54:59Z</dcterms:created>
  <dcterms:modified xsi:type="dcterms:W3CDTF">2019-04-30T10:09:00Z</dcterms:modified>
  <cp:category/>
  <cp:version/>
  <cp:contentType/>
  <cp:contentStatus/>
</cp:coreProperties>
</file>