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ия\Desktop\БЮДЖЕТ 2026\корректировка 1 СД 10.03.26\готовое решение\КСП 20.02.26\в СД ГОТОВО\"/>
    </mc:Choice>
  </mc:AlternateContent>
  <xr:revisionPtr revIDLastSave="0" documentId="13_ncr:1_{1A45BCB1-4222-457A-BEEA-2578A3270A33}" xr6:coauthVersionLast="47" xr6:coauthVersionMax="47" xr10:uidLastSave="{00000000-0000-0000-0000-000000000000}"/>
  <bookViews>
    <workbookView xWindow="-120" yWindow="-120" windowWidth="29040" windowHeight="15840" tabRatio="852" xr2:uid="{00000000-000D-0000-FFFF-FFFF00000000}"/>
  </bookViews>
  <sheets>
    <sheet name="пр.1" sheetId="107" r:id="rId1"/>
    <sheet name="пр.2" sheetId="130" r:id="rId2"/>
    <sheet name="пр.3" sheetId="131" r:id="rId3"/>
    <sheet name="пр.4" sheetId="121" r:id="rId4"/>
    <sheet name="пр.5" sheetId="127" r:id="rId5"/>
    <sheet name="пр.6" sheetId="125" r:id="rId6"/>
    <sheet name="пр.7" sheetId="126" r:id="rId7"/>
    <sheet name=" прил 6 в презу" sheetId="141" state="hidden" r:id="rId8"/>
    <sheet name="МП в презу" sheetId="139" state="hidden" r:id="rId9"/>
    <sheet name="вед.структура расходов" sheetId="140" state="hidden" r:id="rId10"/>
    <sheet name="сверка 40,1%" sheetId="132" state="hidden" r:id="rId11"/>
    <sheet name="основные характеристики" sheetId="134" state="hidden" r:id="rId12"/>
    <sheet name="решение" sheetId="133" state="hidden" r:id="rId13"/>
    <sheet name="пз стр 10" sheetId="135" state="hidden" r:id="rId14"/>
    <sheet name="прил-3 (2)" sheetId="136" state="hidden" r:id="rId15"/>
    <sheet name="доходы в презу" sheetId="137" state="hidden" r:id="rId16"/>
    <sheet name="СТРУКТУРА ПРОГРАММНЫЕ ПРЕЗА" sheetId="138" state="hidden" r:id="rId17"/>
  </sheets>
  <definedNames>
    <definedName name="_xlnm._FilterDatabase" localSheetId="7" hidden="1">' прил 6 в презу'!$A$20:$H$50</definedName>
    <definedName name="_xlnm._FilterDatabase" localSheetId="9" hidden="1">'вед.структура расходов'!$A$20:$M$317</definedName>
    <definedName name="_xlnm._FilterDatabase" localSheetId="8" hidden="1">'МП в презу'!$A$19:$F$312</definedName>
    <definedName name="_xlnm._FilterDatabase" localSheetId="2" hidden="1">пр.3!$A$27:$H$339</definedName>
    <definedName name="_xlnm._FilterDatabase" localSheetId="3" hidden="1">пр.4!$A$21:$I$335</definedName>
    <definedName name="_xlnm._FilterDatabase" localSheetId="14" hidden="1">'прил-3 (2)'!$A$20:$H$319</definedName>
    <definedName name="_xlnm._FilterDatabase" localSheetId="16" hidden="1">'СТРУКТУРА ПРОГРАММНЫЕ ПРЕЗА'!$A$19:$H$312</definedName>
    <definedName name="_xlnm.Print_Area" localSheetId="9">'вед.структура расходов'!$A$1:$M$317</definedName>
    <definedName name="_xlnm.Print_Area" localSheetId="3">пр.4!$A$1:$I$335</definedName>
  </definedNames>
  <calcPr calcId="181029"/>
</workbook>
</file>

<file path=xl/calcChain.xml><?xml version="1.0" encoding="utf-8"?>
<calcChain xmlns="http://schemas.openxmlformats.org/spreadsheetml/2006/main">
  <c r="G314" i="121" l="1"/>
  <c r="G313" i="121" s="1"/>
  <c r="G312" i="121" s="1"/>
  <c r="F52" i="131" s="1"/>
  <c r="F51" i="131" s="1"/>
  <c r="F50" i="131" s="1"/>
  <c r="F49" i="131" s="1"/>
  <c r="G317" i="121"/>
  <c r="F56" i="131" s="1"/>
  <c r="I314" i="121"/>
  <c r="I313" i="121"/>
  <c r="I312" i="121" s="1"/>
  <c r="H52" i="131" s="1"/>
  <c r="H51" i="131" s="1"/>
  <c r="H50" i="131" s="1"/>
  <c r="H49" i="131" s="1"/>
  <c r="H313" i="121"/>
  <c r="H312" i="121" s="1"/>
  <c r="G52" i="131" s="1"/>
  <c r="G51" i="131" s="1"/>
  <c r="G50" i="131" s="1"/>
  <c r="G49" i="131" s="1"/>
  <c r="E78" i="130" l="1"/>
  <c r="G197" i="121"/>
  <c r="G233" i="121"/>
  <c r="G163" i="121"/>
  <c r="G37" i="121" l="1"/>
  <c r="G180" i="121"/>
  <c r="C53" i="130"/>
  <c r="H100" i="131" l="1"/>
  <c r="I276" i="121"/>
  <c r="I275" i="121"/>
  <c r="I274" i="121" s="1"/>
  <c r="I273" i="121" s="1"/>
  <c r="G247" i="121"/>
  <c r="I264" i="121"/>
  <c r="G123" i="121"/>
  <c r="C68" i="130"/>
  <c r="G264" i="121"/>
  <c r="G262" i="121"/>
  <c r="G200" i="121"/>
  <c r="I138" i="121"/>
  <c r="I147" i="121"/>
  <c r="I156" i="121"/>
  <c r="G147" i="121"/>
  <c r="G144" i="121"/>
  <c r="G141" i="121"/>
  <c r="G66" i="121"/>
  <c r="G292" i="121"/>
  <c r="G115" i="131"/>
  <c r="G114" i="131" s="1"/>
  <c r="G113" i="131" s="1"/>
  <c r="H115" i="131"/>
  <c r="H114" i="131" s="1"/>
  <c r="H113" i="131" s="1"/>
  <c r="G99" i="121"/>
  <c r="G98" i="121" s="1"/>
  <c r="G95" i="121" s="1"/>
  <c r="I98" i="121"/>
  <c r="I95" i="121" s="1"/>
  <c r="H98" i="121"/>
  <c r="H95" i="121" s="1"/>
  <c r="G32" i="121"/>
  <c r="F115" i="131" l="1"/>
  <c r="F114" i="131" s="1"/>
  <c r="F113" i="131" s="1"/>
  <c r="G52" i="121"/>
  <c r="C30" i="107"/>
  <c r="A97" i="131"/>
  <c r="G100" i="131"/>
  <c r="F100" i="131"/>
  <c r="G276" i="121"/>
  <c r="G275" i="121"/>
  <c r="G274" i="121" s="1"/>
  <c r="G273" i="121" s="1"/>
  <c r="A53" i="131"/>
  <c r="A56" i="131"/>
  <c r="G285" i="121"/>
  <c r="D53" i="130"/>
  <c r="E53" i="130"/>
  <c r="H275" i="121" l="1"/>
  <c r="H274" i="121" s="1"/>
  <c r="H273" i="121" s="1"/>
  <c r="H276" i="121"/>
  <c r="G316" i="121"/>
  <c r="I317" i="121"/>
  <c r="I316" i="121" s="1"/>
  <c r="I315" i="121" s="1"/>
  <c r="I311" i="121" s="1"/>
  <c r="H56" i="131" s="1"/>
  <c r="H55" i="131" s="1"/>
  <c r="H54" i="131" s="1"/>
  <c r="H53" i="131" s="1"/>
  <c r="H48" i="131" s="1"/>
  <c r="H47" i="131" s="1"/>
  <c r="H316" i="121"/>
  <c r="H315" i="121" s="1"/>
  <c r="H311" i="121" s="1"/>
  <c r="G56" i="131" s="1"/>
  <c r="G55" i="131" s="1"/>
  <c r="G54" i="131" s="1"/>
  <c r="G53" i="131" s="1"/>
  <c r="G48" i="131" s="1"/>
  <c r="G47" i="131" s="1"/>
  <c r="F6" i="126"/>
  <c r="F13" i="126"/>
  <c r="D6" i="125"/>
  <c r="D13" i="125"/>
  <c r="D6" i="127"/>
  <c r="D13" i="127"/>
  <c r="G13" i="121"/>
  <c r="G6" i="121"/>
  <c r="F6" i="131"/>
  <c r="F5" i="131"/>
  <c r="F4" i="131"/>
  <c r="F3" i="131"/>
  <c r="F2" i="131"/>
  <c r="D6" i="130"/>
  <c r="G315" i="121" l="1"/>
  <c r="H310" i="121"/>
  <c r="H309" i="121" s="1"/>
  <c r="H308" i="121" s="1"/>
  <c r="I310" i="121"/>
  <c r="I309" i="121" s="1"/>
  <c r="I308" i="121" s="1"/>
  <c r="G42" i="141"/>
  <c r="G41" i="141" s="1"/>
  <c r="G40" i="141" s="1"/>
  <c r="G39" i="141" s="1"/>
  <c r="G38" i="141" s="1"/>
  <c r="G37" i="141" s="1"/>
  <c r="G36" i="141" s="1"/>
  <c r="G35" i="141"/>
  <c r="G34" i="141" s="1"/>
  <c r="G29" i="141"/>
  <c r="G28" i="141" s="1"/>
  <c r="G27" i="141"/>
  <c r="G26" i="141" s="1"/>
  <c r="D6" i="141"/>
  <c r="G22" i="140"/>
  <c r="K285" i="140"/>
  <c r="K270" i="140"/>
  <c r="K252" i="140"/>
  <c r="K237" i="140"/>
  <c r="K127" i="140"/>
  <c r="K75" i="140"/>
  <c r="K22" i="140"/>
  <c r="G317" i="140"/>
  <c r="G316" i="140" s="1"/>
  <c r="M316" i="140"/>
  <c r="I316" i="140"/>
  <c r="I315" i="140"/>
  <c r="M315" i="140" s="1"/>
  <c r="M314" i="140" s="1"/>
  <c r="M313" i="140" s="1"/>
  <c r="M312" i="140" s="1"/>
  <c r="M311" i="140" s="1"/>
  <c r="M310" i="140" s="1"/>
  <c r="G314" i="140"/>
  <c r="G313" i="140" s="1"/>
  <c r="G312" i="140" s="1"/>
  <c r="G311" i="140" s="1"/>
  <c r="G310" i="140" s="1"/>
  <c r="I308" i="140"/>
  <c r="M308" i="140" s="1"/>
  <c r="M307" i="140" s="1"/>
  <c r="M306" i="140" s="1"/>
  <c r="M305" i="140" s="1"/>
  <c r="M304" i="140" s="1"/>
  <c r="M303" i="140" s="1"/>
  <c r="M302" i="140" s="1"/>
  <c r="G307" i="140"/>
  <c r="G306" i="140" s="1"/>
  <c r="G305" i="140" s="1"/>
  <c r="G304" i="140" s="1"/>
  <c r="G303" i="140" s="1"/>
  <c r="G302" i="140" s="1"/>
  <c r="G299" i="140"/>
  <c r="I299" i="140" s="1"/>
  <c r="G296" i="140"/>
  <c r="I296" i="140" s="1"/>
  <c r="G294" i="140"/>
  <c r="G293" i="140" s="1"/>
  <c r="G292" i="140"/>
  <c r="I292" i="140" s="1"/>
  <c r="M283" i="140"/>
  <c r="M282" i="140" s="1"/>
  <c r="M281" i="140" s="1"/>
  <c r="M280" i="140" s="1"/>
  <c r="M279" i="140" s="1"/>
  <c r="M278" i="140" s="1"/>
  <c r="I283" i="140"/>
  <c r="I282" i="140" s="1"/>
  <c r="I281" i="140" s="1"/>
  <c r="I280" i="140" s="1"/>
  <c r="I279" i="140" s="1"/>
  <c r="I278" i="140" s="1"/>
  <c r="G283" i="140"/>
  <c r="G282" i="140" s="1"/>
  <c r="G281" i="140" s="1"/>
  <c r="G280" i="140" s="1"/>
  <c r="G279" i="140" s="1"/>
  <c r="G278" i="140" s="1"/>
  <c r="I277" i="140"/>
  <c r="M277" i="140" s="1"/>
  <c r="G276" i="140"/>
  <c r="G275" i="140"/>
  <c r="G274" i="140" s="1"/>
  <c r="G273" i="140" s="1"/>
  <c r="G272" i="140" s="1"/>
  <c r="G271" i="140" s="1"/>
  <c r="G269" i="140"/>
  <c r="I269" i="140" s="1"/>
  <c r="I266" i="140"/>
  <c r="I265" i="140" s="1"/>
  <c r="G266" i="140"/>
  <c r="G265" i="140" s="1"/>
  <c r="I263" i="140"/>
  <c r="I262" i="140" s="1"/>
  <c r="G263" i="140"/>
  <c r="G262" i="140" s="1"/>
  <c r="M261" i="140"/>
  <c r="M260" i="140" s="1"/>
  <c r="I261" i="140"/>
  <c r="I260" i="140" s="1"/>
  <c r="G261" i="140"/>
  <c r="G260" i="140" s="1"/>
  <c r="I259" i="140"/>
  <c r="I258" i="140" s="1"/>
  <c r="G259" i="140"/>
  <c r="G258" i="140"/>
  <c r="M250" i="140"/>
  <c r="M249" i="140" s="1"/>
  <c r="I250" i="140"/>
  <c r="I249" i="140" s="1"/>
  <c r="G250" i="140"/>
  <c r="G249" i="140" s="1"/>
  <c r="I244" i="140"/>
  <c r="I243" i="140" s="1"/>
  <c r="G243" i="140"/>
  <c r="G242" i="140"/>
  <c r="G241" i="140" s="1"/>
  <c r="G240" i="140" s="1"/>
  <c r="G239" i="140" s="1"/>
  <c r="G238" i="140" s="1"/>
  <c r="M236" i="140"/>
  <c r="M235" i="140" s="1"/>
  <c r="M234" i="140" s="1"/>
  <c r="M233" i="140" s="1"/>
  <c r="M232" i="140" s="1"/>
  <c r="M231" i="140" s="1"/>
  <c r="I236" i="140"/>
  <c r="I235" i="140" s="1"/>
  <c r="I234" i="140" s="1"/>
  <c r="I233" i="140" s="1"/>
  <c r="I232" i="140" s="1"/>
  <c r="I231" i="140" s="1"/>
  <c r="G236" i="140"/>
  <c r="G235" i="140" s="1"/>
  <c r="G234" i="140" s="1"/>
  <c r="G233" i="140" s="1"/>
  <c r="G232" i="140" s="1"/>
  <c r="G231" i="140" s="1"/>
  <c r="M229" i="140"/>
  <c r="M228" i="140" s="1"/>
  <c r="I229" i="140"/>
  <c r="I228" i="140" s="1"/>
  <c r="G229" i="140"/>
  <c r="G228" i="140" s="1"/>
  <c r="M223" i="140"/>
  <c r="M221" i="140" s="1"/>
  <c r="M220" i="140" s="1"/>
  <c r="I223" i="140"/>
  <c r="I221" i="140" s="1"/>
  <c r="I220" i="140" s="1"/>
  <c r="G223" i="140"/>
  <c r="G221" i="140" s="1"/>
  <c r="G220" i="140" s="1"/>
  <c r="M222" i="140"/>
  <c r="M218" i="140"/>
  <c r="I218" i="140"/>
  <c r="G218" i="140"/>
  <c r="M217" i="140"/>
  <c r="M216" i="140" s="1"/>
  <c r="M215" i="140" s="1"/>
  <c r="I217" i="140"/>
  <c r="I216" i="140" s="1"/>
  <c r="I215" i="140" s="1"/>
  <c r="G217" i="140"/>
  <c r="G216" i="140" s="1"/>
  <c r="G215" i="140" s="1"/>
  <c r="M212" i="140"/>
  <c r="M210" i="140" s="1"/>
  <c r="M209" i="140" s="1"/>
  <c r="M208" i="140" s="1"/>
  <c r="I212" i="140"/>
  <c r="I211" i="140" s="1"/>
  <c r="G212" i="140"/>
  <c r="G211" i="140" s="1"/>
  <c r="M206" i="140"/>
  <c r="M205" i="140" s="1"/>
  <c r="I206" i="140"/>
  <c r="I205" i="140" s="1"/>
  <c r="G206" i="140"/>
  <c r="G205" i="140" s="1"/>
  <c r="M204" i="140"/>
  <c r="M203" i="140" s="1"/>
  <c r="M202" i="140" s="1"/>
  <c r="I204" i="140"/>
  <c r="I203" i="140" s="1"/>
  <c r="I202" i="140" s="1"/>
  <c r="G204" i="140"/>
  <c r="G203" i="140" s="1"/>
  <c r="G202" i="140" s="1"/>
  <c r="M200" i="140"/>
  <c r="M199" i="140" s="1"/>
  <c r="M198" i="140" s="1"/>
  <c r="I200" i="140"/>
  <c r="I199" i="140" s="1"/>
  <c r="I198" i="140" s="1"/>
  <c r="G200" i="140"/>
  <c r="G199" i="140" s="1"/>
  <c r="G198" i="140" s="1"/>
  <c r="M196" i="140"/>
  <c r="I196" i="140"/>
  <c r="G196" i="140"/>
  <c r="M195" i="140"/>
  <c r="I195" i="140"/>
  <c r="G195" i="140"/>
  <c r="I194" i="140"/>
  <c r="I193" i="140" s="1"/>
  <c r="I192" i="140" s="1"/>
  <c r="G194" i="140"/>
  <c r="G193" i="140" s="1"/>
  <c r="G192" i="140" s="1"/>
  <c r="M193" i="140"/>
  <c r="M192" i="140" s="1"/>
  <c r="M186" i="140"/>
  <c r="M185" i="140" s="1"/>
  <c r="M184" i="140" s="1"/>
  <c r="M183" i="140" s="1"/>
  <c r="M182" i="140" s="1"/>
  <c r="M181" i="140" s="1"/>
  <c r="I186" i="140"/>
  <c r="I185" i="140" s="1"/>
  <c r="I184" i="140" s="1"/>
  <c r="I183" i="140" s="1"/>
  <c r="I182" i="140" s="1"/>
  <c r="I181" i="140" s="1"/>
  <c r="G186" i="140"/>
  <c r="G185" i="140" s="1"/>
  <c r="G184" i="140" s="1"/>
  <c r="G183" i="140" s="1"/>
  <c r="G182" i="140" s="1"/>
  <c r="G181" i="140" s="1"/>
  <c r="M180" i="140"/>
  <c r="M179" i="140" s="1"/>
  <c r="I180" i="140"/>
  <c r="I178" i="140" s="1"/>
  <c r="G179" i="140"/>
  <c r="G178" i="140"/>
  <c r="M176" i="140"/>
  <c r="M175" i="140" s="1"/>
  <c r="I176" i="140"/>
  <c r="I175" i="140" s="1"/>
  <c r="G176" i="140"/>
  <c r="G175" i="140" s="1"/>
  <c r="G169" i="140"/>
  <c r="G167" i="140" s="1"/>
  <c r="M168" i="140"/>
  <c r="I168" i="140"/>
  <c r="M167" i="140"/>
  <c r="I167" i="140"/>
  <c r="M166" i="140"/>
  <c r="M165" i="140" s="1"/>
  <c r="M164" i="140" s="1"/>
  <c r="I166" i="140"/>
  <c r="I165" i="140" s="1"/>
  <c r="I164" i="140" s="1"/>
  <c r="G166" i="140"/>
  <c r="G165" i="140" s="1"/>
  <c r="G164" i="140" s="1"/>
  <c r="M162" i="140"/>
  <c r="I162" i="140"/>
  <c r="G162" i="140"/>
  <c r="M161" i="140"/>
  <c r="I161" i="140"/>
  <c r="G161" i="140"/>
  <c r="G160" i="140"/>
  <c r="G159" i="140" s="1"/>
  <c r="M159" i="140"/>
  <c r="I159" i="140"/>
  <c r="M158" i="140"/>
  <c r="I158" i="140"/>
  <c r="M152" i="140"/>
  <c r="M151" i="140" s="1"/>
  <c r="I152" i="140"/>
  <c r="I151" i="140" s="1"/>
  <c r="I150" i="140" s="1"/>
  <c r="I149" i="140" s="1"/>
  <c r="M150" i="140"/>
  <c r="M147" i="140"/>
  <c r="I147" i="140"/>
  <c r="G147" i="140"/>
  <c r="M146" i="140"/>
  <c r="M145" i="140" s="1"/>
  <c r="I146" i="140"/>
  <c r="I145" i="140" s="1"/>
  <c r="G146" i="140"/>
  <c r="G145" i="140" s="1"/>
  <c r="M143" i="140"/>
  <c r="M142" i="140" s="1"/>
  <c r="I143" i="140"/>
  <c r="I142" i="140" s="1"/>
  <c r="M140" i="140"/>
  <c r="M139" i="140" s="1"/>
  <c r="I140" i="140"/>
  <c r="I139" i="140" s="1"/>
  <c r="G140" i="140"/>
  <c r="G139" i="140" s="1"/>
  <c r="M137" i="140"/>
  <c r="M136" i="140" s="1"/>
  <c r="I137" i="140"/>
  <c r="I136" i="140" s="1"/>
  <c r="G137" i="140"/>
  <c r="G136" i="140" s="1"/>
  <c r="M135" i="140"/>
  <c r="M134" i="140" s="1"/>
  <c r="I134" i="140"/>
  <c r="G134" i="140"/>
  <c r="I133" i="140"/>
  <c r="G133" i="140"/>
  <c r="M128" i="140"/>
  <c r="I128" i="140"/>
  <c r="G128" i="140"/>
  <c r="M125" i="140"/>
  <c r="I125" i="140"/>
  <c r="G125" i="140"/>
  <c r="M124" i="140"/>
  <c r="M123" i="140" s="1"/>
  <c r="M122" i="140" s="1"/>
  <c r="M121" i="140" s="1"/>
  <c r="I124" i="140"/>
  <c r="I123" i="140" s="1"/>
  <c r="I122" i="140" s="1"/>
  <c r="I121" i="140" s="1"/>
  <c r="G124" i="140"/>
  <c r="G123" i="140" s="1"/>
  <c r="G122" i="140" s="1"/>
  <c r="G121" i="140" s="1"/>
  <c r="M120" i="140"/>
  <c r="M119" i="140" s="1"/>
  <c r="M118" i="140" s="1"/>
  <c r="I120" i="140"/>
  <c r="I119" i="140" s="1"/>
  <c r="I118" i="140" s="1"/>
  <c r="G120" i="140"/>
  <c r="G119" i="140" s="1"/>
  <c r="G118" i="140" s="1"/>
  <c r="G117" i="140"/>
  <c r="G116" i="140" s="1"/>
  <c r="M116" i="140"/>
  <c r="I116" i="140"/>
  <c r="G115" i="140"/>
  <c r="G114" i="140" s="1"/>
  <c r="M114" i="140"/>
  <c r="I114" i="140"/>
  <c r="M108" i="140"/>
  <c r="M107" i="140" s="1"/>
  <c r="M106" i="140" s="1"/>
  <c r="I108" i="140"/>
  <c r="I107" i="140" s="1"/>
  <c r="I106" i="140" s="1"/>
  <c r="I105" i="140" s="1"/>
  <c r="G108" i="140"/>
  <c r="G107" i="140" s="1"/>
  <c r="G106" i="140" s="1"/>
  <c r="M101" i="140"/>
  <c r="M100" i="140" s="1"/>
  <c r="I101" i="140"/>
  <c r="I100" i="140" s="1"/>
  <c r="G101" i="140"/>
  <c r="G100" i="140" s="1"/>
  <c r="M95" i="140"/>
  <c r="I95" i="140"/>
  <c r="G95" i="140"/>
  <c r="M94" i="140"/>
  <c r="M93" i="140" s="1"/>
  <c r="I94" i="140"/>
  <c r="I93" i="140" s="1"/>
  <c r="G94" i="140"/>
  <c r="G93" i="140" s="1"/>
  <c r="M91" i="140"/>
  <c r="I91" i="140"/>
  <c r="G91" i="140"/>
  <c r="M90" i="140"/>
  <c r="M89" i="140" s="1"/>
  <c r="I90" i="140"/>
  <c r="I89" i="140" s="1"/>
  <c r="G90" i="140"/>
  <c r="G89" i="140" s="1"/>
  <c r="G84" i="140"/>
  <c r="G83" i="140" s="1"/>
  <c r="M83" i="140"/>
  <c r="I83" i="140"/>
  <c r="M82" i="140"/>
  <c r="M81" i="140" s="1"/>
  <c r="M80" i="140" s="1"/>
  <c r="M79" i="140" s="1"/>
  <c r="M78" i="140" s="1"/>
  <c r="M77" i="140" s="1"/>
  <c r="M76" i="140" s="1"/>
  <c r="M75" i="140" s="1"/>
  <c r="I82" i="140"/>
  <c r="I81" i="140" s="1"/>
  <c r="G82" i="140"/>
  <c r="G81" i="140" s="1"/>
  <c r="M73" i="140"/>
  <c r="M72" i="140" s="1"/>
  <c r="I73" i="140"/>
  <c r="I72" i="140" s="1"/>
  <c r="G73" i="140"/>
  <c r="G72" i="140" s="1"/>
  <c r="M69" i="140"/>
  <c r="I69" i="140"/>
  <c r="G69" i="140"/>
  <c r="G68" i="140"/>
  <c r="G66" i="140" s="1"/>
  <c r="G65" i="140"/>
  <c r="G64" i="140" s="1"/>
  <c r="M64" i="140"/>
  <c r="I64" i="140"/>
  <c r="M56" i="140"/>
  <c r="M55" i="140" s="1"/>
  <c r="M54" i="140" s="1"/>
  <c r="M53" i="140" s="1"/>
  <c r="M52" i="140" s="1"/>
  <c r="I56" i="140"/>
  <c r="I55" i="140" s="1"/>
  <c r="I54" i="140" s="1"/>
  <c r="I53" i="140" s="1"/>
  <c r="G56" i="140"/>
  <c r="G55" i="140" s="1"/>
  <c r="G54" i="140" s="1"/>
  <c r="G53" i="140" s="1"/>
  <c r="G52" i="140" s="1"/>
  <c r="M50" i="140"/>
  <c r="I50" i="140"/>
  <c r="G50" i="140"/>
  <c r="M49" i="140"/>
  <c r="M48" i="140" s="1"/>
  <c r="M47" i="140" s="1"/>
  <c r="I49" i="140"/>
  <c r="I48" i="140" s="1"/>
  <c r="I47" i="140" s="1"/>
  <c r="G49" i="140"/>
  <c r="G46" i="140" s="1"/>
  <c r="G45" i="140" s="1"/>
  <c r="G44" i="140"/>
  <c r="G43" i="140" s="1"/>
  <c r="M38" i="140"/>
  <c r="M37" i="140" s="1"/>
  <c r="I38" i="140"/>
  <c r="I37" i="140" s="1"/>
  <c r="G38" i="140"/>
  <c r="G37" i="140" s="1"/>
  <c r="M35" i="140"/>
  <c r="M34" i="140" s="1"/>
  <c r="I35" i="140"/>
  <c r="I34" i="140" s="1"/>
  <c r="G35" i="140"/>
  <c r="G34" i="140" s="1"/>
  <c r="M32" i="140"/>
  <c r="I32" i="140"/>
  <c r="G32" i="140"/>
  <c r="M31" i="140"/>
  <c r="M30" i="140" s="1"/>
  <c r="I31" i="140"/>
  <c r="I30" i="140" s="1"/>
  <c r="G31" i="140"/>
  <c r="G30" i="140" s="1"/>
  <c r="M29" i="140"/>
  <c r="M28" i="140" s="1"/>
  <c r="I28" i="140"/>
  <c r="G28" i="140"/>
  <c r="G6" i="140"/>
  <c r="B312" i="139"/>
  <c r="B311" i="139" s="1"/>
  <c r="F308" i="139"/>
  <c r="F307" i="139" s="1"/>
  <c r="F305" i="139" s="1"/>
  <c r="D308" i="139"/>
  <c r="D307" i="139" s="1"/>
  <c r="D305" i="139" s="1"/>
  <c r="B308" i="139"/>
  <c r="B307" i="139" s="1"/>
  <c r="B304" i="139"/>
  <c r="B303" i="139" s="1"/>
  <c r="F296" i="139"/>
  <c r="F295" i="139" s="1"/>
  <c r="F294" i="139" s="1"/>
  <c r="F293" i="139" s="1"/>
  <c r="D296" i="139"/>
  <c r="D295" i="139" s="1"/>
  <c r="D294" i="139" s="1"/>
  <c r="D293" i="139" s="1"/>
  <c r="F292" i="139"/>
  <c r="F291" i="139" s="1"/>
  <c r="F290" i="139" s="1"/>
  <c r="F289" i="139" s="1"/>
  <c r="D292" i="139"/>
  <c r="D291" i="139" s="1"/>
  <c r="D290" i="139" s="1"/>
  <c r="D289" i="139" s="1"/>
  <c r="B292" i="139"/>
  <c r="B291" i="139" s="1"/>
  <c r="B290" i="139" s="1"/>
  <c r="B289" i="139" s="1"/>
  <c r="F288" i="139"/>
  <c r="F287" i="139" s="1"/>
  <c r="F286" i="139" s="1"/>
  <c r="D288" i="139"/>
  <c r="D287" i="139" s="1"/>
  <c r="D286" i="139" s="1"/>
  <c r="F281" i="139"/>
  <c r="F280" i="139" s="1"/>
  <c r="F279" i="139" s="1"/>
  <c r="F278" i="139" s="1"/>
  <c r="D281" i="139"/>
  <c r="D280" i="139" s="1"/>
  <c r="D279" i="139" s="1"/>
  <c r="D278" i="139" s="1"/>
  <c r="B281" i="139"/>
  <c r="B280" i="139" s="1"/>
  <c r="B279" i="139" s="1"/>
  <c r="B278" i="139" s="1"/>
  <c r="F277" i="139"/>
  <c r="F276" i="139" s="1"/>
  <c r="F275" i="139" s="1"/>
  <c r="D277" i="139"/>
  <c r="D276" i="139" s="1"/>
  <c r="F273" i="139"/>
  <c r="F272" i="139" s="1"/>
  <c r="F271" i="139" s="1"/>
  <c r="F270" i="139" s="1"/>
  <c r="D273" i="139"/>
  <c r="D272" i="139" s="1"/>
  <c r="D271" i="139" s="1"/>
  <c r="D270" i="139" s="1"/>
  <c r="B273" i="139"/>
  <c r="B272" i="139" s="1"/>
  <c r="B271" i="139" s="1"/>
  <c r="B270" i="139" s="1"/>
  <c r="F266" i="139"/>
  <c r="F265" i="139" s="1"/>
  <c r="F264" i="139" s="1"/>
  <c r="F263" i="139" s="1"/>
  <c r="D266" i="139"/>
  <c r="D265" i="139" s="1"/>
  <c r="D264" i="139" s="1"/>
  <c r="D263" i="139" s="1"/>
  <c r="B266" i="139"/>
  <c r="B265" i="139" s="1"/>
  <c r="B264" i="139" s="1"/>
  <c r="B263" i="139" s="1"/>
  <c r="F262" i="139"/>
  <c r="F261" i="139" s="1"/>
  <c r="D262" i="139"/>
  <c r="D261" i="139" s="1"/>
  <c r="B262" i="139"/>
  <c r="B261" i="139" s="1"/>
  <c r="F260" i="139"/>
  <c r="F259" i="139" s="1"/>
  <c r="D260" i="139"/>
  <c r="D259" i="139" s="1"/>
  <c r="B260" i="139"/>
  <c r="B259" i="139" s="1"/>
  <c r="F255" i="139"/>
  <c r="F254" i="139" s="1"/>
  <c r="D255" i="139"/>
  <c r="D254" i="139" s="1"/>
  <c r="B255" i="139"/>
  <c r="B254" i="139" s="1"/>
  <c r="F252" i="139"/>
  <c r="F251" i="139" s="1"/>
  <c r="F250" i="139" s="1"/>
  <c r="D252" i="139"/>
  <c r="D251" i="139" s="1"/>
  <c r="D250" i="139" s="1"/>
  <c r="F235" i="139"/>
  <c r="F234" i="139" s="1"/>
  <c r="F233" i="139" s="1"/>
  <c r="D235" i="139"/>
  <c r="D234" i="139" s="1"/>
  <c r="D233" i="139" s="1"/>
  <c r="F232" i="139"/>
  <c r="F231" i="139" s="1"/>
  <c r="F230" i="139" s="1"/>
  <c r="D232" i="139"/>
  <c r="D231" i="139" s="1"/>
  <c r="D230" i="139" s="1"/>
  <c r="F228" i="139"/>
  <c r="F227" i="139" s="1"/>
  <c r="F225" i="139" s="1"/>
  <c r="D228" i="139"/>
  <c r="D227" i="139" s="1"/>
  <c r="D225" i="139" s="1"/>
  <c r="B228" i="139"/>
  <c r="B227" i="139" s="1"/>
  <c r="F224" i="139"/>
  <c r="F223" i="139" s="1"/>
  <c r="F221" i="139" s="1"/>
  <c r="D224" i="139"/>
  <c r="D223" i="139" s="1"/>
  <c r="D221" i="139" s="1"/>
  <c r="B224" i="139"/>
  <c r="B223" i="139" s="1"/>
  <c r="F220" i="139"/>
  <c r="F219" i="139" s="1"/>
  <c r="F217" i="139" s="1"/>
  <c r="D220" i="139"/>
  <c r="D219" i="139" s="1"/>
  <c r="D217" i="139" s="1"/>
  <c r="B220" i="139"/>
  <c r="B219" i="139" s="1"/>
  <c r="F216" i="139"/>
  <c r="F215" i="139" s="1"/>
  <c r="F214" i="139" s="1"/>
  <c r="D216" i="139"/>
  <c r="D215" i="139" s="1"/>
  <c r="D214" i="139" s="1"/>
  <c r="B216" i="139"/>
  <c r="B215" i="139" s="1"/>
  <c r="B214" i="139" s="1"/>
  <c r="F212" i="139"/>
  <c r="D212" i="139"/>
  <c r="D209" i="139"/>
  <c r="B209" i="139"/>
  <c r="B208" i="139"/>
  <c r="B202" i="139"/>
  <c r="B201" i="139" s="1"/>
  <c r="B200" i="139" s="1"/>
  <c r="B199" i="139" s="1"/>
  <c r="B198" i="139" s="1"/>
  <c r="B197" i="139" s="1"/>
  <c r="F190" i="139"/>
  <c r="F189" i="139" s="1"/>
  <c r="F188" i="139" s="1"/>
  <c r="D190" i="139"/>
  <c r="D189" i="139" s="1"/>
  <c r="D188" i="139" s="1"/>
  <c r="F187" i="139"/>
  <c r="F186" i="139" s="1"/>
  <c r="F185" i="139" s="1"/>
  <c r="F183" i="139" s="1"/>
  <c r="F182" i="139" s="1"/>
  <c r="F181" i="139" s="1"/>
  <c r="D187" i="139"/>
  <c r="D186" i="139" s="1"/>
  <c r="D185" i="139" s="1"/>
  <c r="B187" i="139"/>
  <c r="B186" i="139" s="1"/>
  <c r="B185" i="139" s="1"/>
  <c r="F180" i="139"/>
  <c r="F179" i="139" s="1"/>
  <c r="F178" i="139" s="1"/>
  <c r="D180" i="139"/>
  <c r="D179" i="139" s="1"/>
  <c r="D178" i="139" s="1"/>
  <c r="B180" i="139"/>
  <c r="B179" i="139" s="1"/>
  <c r="B178" i="139" s="1"/>
  <c r="F173" i="139"/>
  <c r="F172" i="139" s="1"/>
  <c r="F171" i="139" s="1"/>
  <c r="F170" i="139" s="1"/>
  <c r="D173" i="139"/>
  <c r="D172" i="139" s="1"/>
  <c r="D171" i="139" s="1"/>
  <c r="D170" i="139" s="1"/>
  <c r="B173" i="139"/>
  <c r="B172" i="139" s="1"/>
  <c r="B171" i="139" s="1"/>
  <c r="B170" i="139" s="1"/>
  <c r="F167" i="139"/>
  <c r="F166" i="139" s="1"/>
  <c r="F165" i="139" s="1"/>
  <c r="F164" i="139" s="1"/>
  <c r="F163" i="139" s="1"/>
  <c r="F162" i="139" s="1"/>
  <c r="D167" i="139"/>
  <c r="D166" i="139" s="1"/>
  <c r="D165" i="139" s="1"/>
  <c r="D164" i="139" s="1"/>
  <c r="D163" i="139" s="1"/>
  <c r="D162" i="139" s="1"/>
  <c r="B167" i="139"/>
  <c r="B166" i="139" s="1"/>
  <c r="B165" i="139" s="1"/>
  <c r="B164" i="139" s="1"/>
  <c r="B163" i="139" s="1"/>
  <c r="B162" i="139" s="1"/>
  <c r="F160" i="139"/>
  <c r="F159" i="139" s="1"/>
  <c r="F158" i="139" s="1"/>
  <c r="D160" i="139"/>
  <c r="D159" i="139" s="1"/>
  <c r="D158" i="139" s="1"/>
  <c r="B160" i="139"/>
  <c r="B159" i="139" s="1"/>
  <c r="B158" i="139" s="1"/>
  <c r="F153" i="139"/>
  <c r="F152" i="139" s="1"/>
  <c r="F151" i="139" s="1"/>
  <c r="F150" i="139" s="1"/>
  <c r="D153" i="139"/>
  <c r="D152" i="139" s="1"/>
  <c r="D151" i="139" s="1"/>
  <c r="D150" i="139" s="1"/>
  <c r="B153" i="139"/>
  <c r="B152" i="139" s="1"/>
  <c r="B151" i="139" s="1"/>
  <c r="B150" i="139" s="1"/>
  <c r="F146" i="139"/>
  <c r="F145" i="139" s="1"/>
  <c r="F143" i="139" s="1"/>
  <c r="F142" i="139" s="1"/>
  <c r="D146" i="139"/>
  <c r="D145" i="139" s="1"/>
  <c r="B146" i="139"/>
  <c r="B145" i="139" s="1"/>
  <c r="F141" i="139"/>
  <c r="F140" i="139" s="1"/>
  <c r="F139" i="139" s="1"/>
  <c r="F138" i="139" s="1"/>
  <c r="D141" i="139"/>
  <c r="D140" i="139" s="1"/>
  <c r="D139" i="139" s="1"/>
  <c r="D138" i="139" s="1"/>
  <c r="B141" i="139"/>
  <c r="B140" i="139" s="1"/>
  <c r="B139" i="139" s="1"/>
  <c r="B138" i="139" s="1"/>
  <c r="F137" i="139"/>
  <c r="F136" i="139" s="1"/>
  <c r="F135" i="139" s="1"/>
  <c r="F134" i="139" s="1"/>
  <c r="F130" i="139"/>
  <c r="F129" i="139" s="1"/>
  <c r="D130" i="139"/>
  <c r="D129" i="139" s="1"/>
  <c r="B130" i="139"/>
  <c r="B129" i="139" s="1"/>
  <c r="F123" i="139"/>
  <c r="F122" i="139" s="1"/>
  <c r="F121" i="139" s="1"/>
  <c r="D123" i="139"/>
  <c r="D122" i="139" s="1"/>
  <c r="D121" i="139" s="1"/>
  <c r="B121" i="139"/>
  <c r="B120" i="139" s="1"/>
  <c r="F117" i="139"/>
  <c r="F116" i="139" s="1"/>
  <c r="F114" i="139" s="1"/>
  <c r="F115" i="139" s="1"/>
  <c r="D117" i="139"/>
  <c r="D116" i="139" s="1"/>
  <c r="D114" i="139" s="1"/>
  <c r="D115" i="139" s="1"/>
  <c r="B117" i="139"/>
  <c r="B116" i="139" s="1"/>
  <c r="B114" i="139" s="1"/>
  <c r="F112" i="139"/>
  <c r="F111" i="139" s="1"/>
  <c r="F110" i="139" s="1"/>
  <c r="F109" i="139" s="1"/>
  <c r="D112" i="139"/>
  <c r="D111" i="139" s="1"/>
  <c r="D110" i="139" s="1"/>
  <c r="D109" i="139" s="1"/>
  <c r="B112" i="139"/>
  <c r="B111" i="139" s="1"/>
  <c r="B110" i="139" s="1"/>
  <c r="B109" i="139" s="1"/>
  <c r="F108" i="139"/>
  <c r="F107" i="139" s="1"/>
  <c r="F106" i="139" s="1"/>
  <c r="F105" i="139" s="1"/>
  <c r="D108" i="139"/>
  <c r="D107" i="139" s="1"/>
  <c r="D106" i="139" s="1"/>
  <c r="D105" i="139" s="1"/>
  <c r="F104" i="139"/>
  <c r="F103" i="139" s="1"/>
  <c r="F102" i="139" s="1"/>
  <c r="F101" i="139" s="1"/>
  <c r="D104" i="139"/>
  <c r="D103" i="139" s="1"/>
  <c r="D102" i="139" s="1"/>
  <c r="D101" i="139" s="1"/>
  <c r="B104" i="139"/>
  <c r="B103" i="139" s="1"/>
  <c r="B102" i="139" s="1"/>
  <c r="B101" i="139" s="1"/>
  <c r="D100" i="139"/>
  <c r="D99" i="139" s="1"/>
  <c r="D98" i="139" s="1"/>
  <c r="B100" i="139"/>
  <c r="B99" i="139" s="1"/>
  <c r="B97" i="139" s="1"/>
  <c r="F93" i="139"/>
  <c r="F92" i="139" s="1"/>
  <c r="F91" i="139" s="1"/>
  <c r="F90" i="139" s="1"/>
  <c r="F89" i="139" s="1"/>
  <c r="D93" i="139"/>
  <c r="D92" i="139" s="1"/>
  <c r="D91" i="139" s="1"/>
  <c r="D90" i="139" s="1"/>
  <c r="D89" i="139" s="1"/>
  <c r="B93" i="139"/>
  <c r="B92" i="139" s="1"/>
  <c r="B91" i="139" s="1"/>
  <c r="B90" i="139" s="1"/>
  <c r="B89" i="139" s="1"/>
  <c r="F88" i="139"/>
  <c r="F87" i="139" s="1"/>
  <c r="F86" i="139" s="1"/>
  <c r="F85" i="139" s="1"/>
  <c r="F84" i="139" s="1"/>
  <c r="D88" i="139"/>
  <c r="D87" i="139" s="1"/>
  <c r="D86" i="139" s="1"/>
  <c r="D85" i="139" s="1"/>
  <c r="D84" i="139" s="1"/>
  <c r="B88" i="139"/>
  <c r="B87" i="139" s="1"/>
  <c r="B86" i="139" s="1"/>
  <c r="B85" i="139" s="1"/>
  <c r="B84" i="139" s="1"/>
  <c r="F83" i="139"/>
  <c r="F82" i="139" s="1"/>
  <c r="F80" i="139" s="1"/>
  <c r="F79" i="139" s="1"/>
  <c r="D83" i="139"/>
  <c r="D82" i="139" s="1"/>
  <c r="B83" i="139"/>
  <c r="B82" i="139" s="1"/>
  <c r="B57" i="139"/>
  <c r="B56" i="139" s="1"/>
  <c r="B55" i="139" s="1"/>
  <c r="F52" i="139"/>
  <c r="F51" i="139" s="1"/>
  <c r="F50" i="139" s="1"/>
  <c r="F49" i="139" s="1"/>
  <c r="F48" i="139" s="1"/>
  <c r="D52" i="139"/>
  <c r="D51" i="139" s="1"/>
  <c r="D50" i="139" s="1"/>
  <c r="D49" i="139" s="1"/>
  <c r="D48" i="139" s="1"/>
  <c r="B52" i="139"/>
  <c r="B51" i="139" s="1"/>
  <c r="B50" i="139" s="1"/>
  <c r="B49" i="139" s="1"/>
  <c r="F45" i="139"/>
  <c r="D45" i="139"/>
  <c r="B45" i="139"/>
  <c r="B44" i="139" s="1"/>
  <c r="B43" i="139" s="1"/>
  <c r="B13" i="139"/>
  <c r="B12" i="139"/>
  <c r="B11" i="139"/>
  <c r="B10" i="139"/>
  <c r="B9" i="139"/>
  <c r="B6" i="139"/>
  <c r="B5" i="139"/>
  <c r="B4" i="139"/>
  <c r="B3" i="139"/>
  <c r="B2" i="139"/>
  <c r="G317" i="138"/>
  <c r="H317" i="138"/>
  <c r="F317" i="138"/>
  <c r="F312" i="138"/>
  <c r="F311" i="138" s="1"/>
  <c r="F310" i="138" s="1"/>
  <c r="H308" i="138"/>
  <c r="H307" i="138" s="1"/>
  <c r="H306" i="138" s="1"/>
  <c r="G308" i="138"/>
  <c r="G307" i="138" s="1"/>
  <c r="G306" i="138" s="1"/>
  <c r="F308" i="138"/>
  <c r="F307" i="138" s="1"/>
  <c r="F306" i="138" s="1"/>
  <c r="F304" i="138"/>
  <c r="F303" i="138" s="1"/>
  <c r="F302" i="138" s="1"/>
  <c r="H296" i="138"/>
  <c r="H295" i="138" s="1"/>
  <c r="H294" i="138" s="1"/>
  <c r="H293" i="138" s="1"/>
  <c r="G296" i="138"/>
  <c r="G295" i="138" s="1"/>
  <c r="G294" i="138" s="1"/>
  <c r="G293" i="138" s="1"/>
  <c r="H292" i="138"/>
  <c r="H291" i="138" s="1"/>
  <c r="H290" i="138" s="1"/>
  <c r="H289" i="138" s="1"/>
  <c r="G292" i="138"/>
  <c r="G291" i="138" s="1"/>
  <c r="G290" i="138" s="1"/>
  <c r="G289" i="138" s="1"/>
  <c r="F292" i="138"/>
  <c r="F291" i="138" s="1"/>
  <c r="F290" i="138" s="1"/>
  <c r="F289" i="138" s="1"/>
  <c r="H288" i="138"/>
  <c r="H287" i="138" s="1"/>
  <c r="H286" i="138" s="1"/>
  <c r="G288" i="138"/>
  <c r="G287" i="138" s="1"/>
  <c r="G286" i="138" s="1"/>
  <c r="H281" i="138"/>
  <c r="H280" i="138" s="1"/>
  <c r="H279" i="138" s="1"/>
  <c r="H278" i="138" s="1"/>
  <c r="G281" i="138"/>
  <c r="G280" i="138" s="1"/>
  <c r="G279" i="138" s="1"/>
  <c r="G278" i="138" s="1"/>
  <c r="F281" i="138"/>
  <c r="F280" i="138" s="1"/>
  <c r="F279" i="138" s="1"/>
  <c r="F278" i="138" s="1"/>
  <c r="H277" i="138"/>
  <c r="H276" i="138" s="1"/>
  <c r="G277" i="138"/>
  <c r="G276" i="138" s="1"/>
  <c r="H273" i="138"/>
  <c r="H272" i="138" s="1"/>
  <c r="H271" i="138" s="1"/>
  <c r="H270" i="138" s="1"/>
  <c r="G273" i="138"/>
  <c r="G272" i="138" s="1"/>
  <c r="G271" i="138" s="1"/>
  <c r="G270" i="138" s="1"/>
  <c r="F273" i="138"/>
  <c r="F272" i="138" s="1"/>
  <c r="F271" i="138" s="1"/>
  <c r="F270" i="138" s="1"/>
  <c r="H266" i="138"/>
  <c r="H265" i="138" s="1"/>
  <c r="H264" i="138" s="1"/>
  <c r="H263" i="138" s="1"/>
  <c r="G266" i="138"/>
  <c r="G265" i="138" s="1"/>
  <c r="G264" i="138" s="1"/>
  <c r="G263" i="138" s="1"/>
  <c r="F266" i="138"/>
  <c r="F265" i="138" s="1"/>
  <c r="F264" i="138" s="1"/>
  <c r="F263" i="138" s="1"/>
  <c r="H262" i="138"/>
  <c r="H261" i="138" s="1"/>
  <c r="G262" i="138"/>
  <c r="G261" i="138" s="1"/>
  <c r="F262" i="138"/>
  <c r="F261" i="138" s="1"/>
  <c r="H260" i="138"/>
  <c r="H259" i="138" s="1"/>
  <c r="G260" i="138"/>
  <c r="G259" i="138" s="1"/>
  <c r="F260" i="138"/>
  <c r="F259" i="138" s="1"/>
  <c r="H255" i="138"/>
  <c r="H254" i="138" s="1"/>
  <c r="G255" i="138"/>
  <c r="G254" i="138" s="1"/>
  <c r="F255" i="138"/>
  <c r="F254" i="138" s="1"/>
  <c r="H252" i="138"/>
  <c r="H251" i="138" s="1"/>
  <c r="H250" i="138" s="1"/>
  <c r="G252" i="138"/>
  <c r="G251" i="138" s="1"/>
  <c r="G250" i="138" s="1"/>
  <c r="H235" i="138"/>
  <c r="H234" i="138" s="1"/>
  <c r="H233" i="138" s="1"/>
  <c r="G235" i="138"/>
  <c r="G234" i="138" s="1"/>
  <c r="G233" i="138" s="1"/>
  <c r="H232" i="138"/>
  <c r="H231" i="138" s="1"/>
  <c r="H230" i="138" s="1"/>
  <c r="G232" i="138"/>
  <c r="G231" i="138" s="1"/>
  <c r="G230" i="138" s="1"/>
  <c r="H228" i="138"/>
  <c r="H227" i="138" s="1"/>
  <c r="H226" i="138" s="1"/>
  <c r="G228" i="138"/>
  <c r="G227" i="138" s="1"/>
  <c r="G226" i="138" s="1"/>
  <c r="F228" i="138"/>
  <c r="F227" i="138" s="1"/>
  <c r="F226" i="138" s="1"/>
  <c r="H224" i="138"/>
  <c r="H223" i="138" s="1"/>
  <c r="H222" i="138" s="1"/>
  <c r="G224" i="138"/>
  <c r="G223" i="138" s="1"/>
  <c r="G222" i="138" s="1"/>
  <c r="F224" i="138"/>
  <c r="F223" i="138" s="1"/>
  <c r="F222" i="138" s="1"/>
  <c r="H220" i="138"/>
  <c r="H219" i="138" s="1"/>
  <c r="H218" i="138" s="1"/>
  <c r="G220" i="138"/>
  <c r="G219" i="138" s="1"/>
  <c r="G218" i="138" s="1"/>
  <c r="F220" i="138"/>
  <c r="F219" i="138" s="1"/>
  <c r="F218" i="138" s="1"/>
  <c r="H216" i="138"/>
  <c r="H215" i="138" s="1"/>
  <c r="H214" i="138" s="1"/>
  <c r="G216" i="138"/>
  <c r="G215" i="138" s="1"/>
  <c r="G214" i="138" s="1"/>
  <c r="F216" i="138"/>
  <c r="F215" i="138" s="1"/>
  <c r="F214" i="138" s="1"/>
  <c r="H212" i="138"/>
  <c r="G212" i="138"/>
  <c r="G209" i="138"/>
  <c r="F209" i="138"/>
  <c r="F208" i="138"/>
  <c r="F202" i="138"/>
  <c r="F201" i="138" s="1"/>
  <c r="F200" i="138" s="1"/>
  <c r="F199" i="138" s="1"/>
  <c r="F198" i="138" s="1"/>
  <c r="F197" i="138" s="1"/>
  <c r="H190" i="138"/>
  <c r="H189" i="138" s="1"/>
  <c r="H188" i="138" s="1"/>
  <c r="G190" i="138"/>
  <c r="G189" i="138" s="1"/>
  <c r="G188" i="138" s="1"/>
  <c r="H187" i="138"/>
  <c r="H186" i="138" s="1"/>
  <c r="H185" i="138" s="1"/>
  <c r="G187" i="138"/>
  <c r="F187" i="138"/>
  <c r="F186" i="138" s="1"/>
  <c r="F185" i="138" s="1"/>
  <c r="G186" i="138"/>
  <c r="G185" i="138" s="1"/>
  <c r="H180" i="138"/>
  <c r="H179" i="138" s="1"/>
  <c r="H178" i="138" s="1"/>
  <c r="G180" i="138"/>
  <c r="G179" i="138" s="1"/>
  <c r="G178" i="138" s="1"/>
  <c r="F180" i="138"/>
  <c r="F179" i="138" s="1"/>
  <c r="F178" i="138" s="1"/>
  <c r="H173" i="138"/>
  <c r="H172" i="138" s="1"/>
  <c r="H171" i="138" s="1"/>
  <c r="H170" i="138" s="1"/>
  <c r="G173" i="138"/>
  <c r="G172" i="138" s="1"/>
  <c r="G171" i="138" s="1"/>
  <c r="G170" i="138" s="1"/>
  <c r="F173" i="138"/>
  <c r="F172" i="138" s="1"/>
  <c r="F171" i="138" s="1"/>
  <c r="F170" i="138" s="1"/>
  <c r="H167" i="138"/>
  <c r="H166" i="138" s="1"/>
  <c r="H165" i="138" s="1"/>
  <c r="H164" i="138" s="1"/>
  <c r="H163" i="138" s="1"/>
  <c r="H162" i="138" s="1"/>
  <c r="G167" i="138"/>
  <c r="G166" i="138" s="1"/>
  <c r="G165" i="138" s="1"/>
  <c r="G164" i="138" s="1"/>
  <c r="G163" i="138" s="1"/>
  <c r="G162" i="138" s="1"/>
  <c r="F167" i="138"/>
  <c r="F166" i="138" s="1"/>
  <c r="F165" i="138" s="1"/>
  <c r="F164" i="138" s="1"/>
  <c r="F163" i="138" s="1"/>
  <c r="F162" i="138" s="1"/>
  <c r="H160" i="138"/>
  <c r="H159" i="138" s="1"/>
  <c r="H158" i="138" s="1"/>
  <c r="G160" i="138"/>
  <c r="G159" i="138" s="1"/>
  <c r="G158" i="138" s="1"/>
  <c r="F160" i="138"/>
  <c r="F159" i="138" s="1"/>
  <c r="F158" i="138" s="1"/>
  <c r="H153" i="138"/>
  <c r="H152" i="138" s="1"/>
  <c r="H151" i="138" s="1"/>
  <c r="H150" i="138" s="1"/>
  <c r="G153" i="138"/>
  <c r="G152" i="138" s="1"/>
  <c r="G151" i="138" s="1"/>
  <c r="G150" i="138" s="1"/>
  <c r="F153" i="138"/>
  <c r="F152" i="138" s="1"/>
  <c r="F151" i="138" s="1"/>
  <c r="F150" i="138" s="1"/>
  <c r="H146" i="138"/>
  <c r="H145" i="138" s="1"/>
  <c r="G146" i="138"/>
  <c r="G145" i="138" s="1"/>
  <c r="F146" i="138"/>
  <c r="F145" i="138" s="1"/>
  <c r="H141" i="138"/>
  <c r="H140" i="138" s="1"/>
  <c r="H139" i="138" s="1"/>
  <c r="H138" i="138" s="1"/>
  <c r="G141" i="138"/>
  <c r="G140" i="138" s="1"/>
  <c r="G139" i="138" s="1"/>
  <c r="G138" i="138" s="1"/>
  <c r="F141" i="138"/>
  <c r="F140" i="138" s="1"/>
  <c r="F139" i="138" s="1"/>
  <c r="F138" i="138" s="1"/>
  <c r="H137" i="138"/>
  <c r="H136" i="138" s="1"/>
  <c r="H135" i="138" s="1"/>
  <c r="H134" i="138" s="1"/>
  <c r="H130" i="138"/>
  <c r="H129" i="138" s="1"/>
  <c r="G130" i="138"/>
  <c r="G129" i="138" s="1"/>
  <c r="F130" i="138"/>
  <c r="F129" i="138" s="1"/>
  <c r="H123" i="138"/>
  <c r="H122" i="138" s="1"/>
  <c r="H121" i="138" s="1"/>
  <c r="G123" i="138"/>
  <c r="G122" i="138" s="1"/>
  <c r="G121" i="138" s="1"/>
  <c r="F121" i="138"/>
  <c r="F119" i="138" s="1"/>
  <c r="F118" i="138" s="1"/>
  <c r="H117" i="138"/>
  <c r="H116" i="138" s="1"/>
  <c r="H114" i="138" s="1"/>
  <c r="G117" i="138"/>
  <c r="G116" i="138" s="1"/>
  <c r="G114" i="138" s="1"/>
  <c r="F117" i="138"/>
  <c r="F116" i="138" s="1"/>
  <c r="F114" i="138" s="1"/>
  <c r="H112" i="138"/>
  <c r="H111" i="138" s="1"/>
  <c r="H110" i="138" s="1"/>
  <c r="H109" i="138" s="1"/>
  <c r="G112" i="138"/>
  <c r="G111" i="138" s="1"/>
  <c r="G110" i="138" s="1"/>
  <c r="G109" i="138" s="1"/>
  <c r="F112" i="138"/>
  <c r="F111" i="138" s="1"/>
  <c r="F110" i="138" s="1"/>
  <c r="F109" i="138" s="1"/>
  <c r="H108" i="138"/>
  <c r="H107" i="138" s="1"/>
  <c r="H106" i="138" s="1"/>
  <c r="H105" i="138" s="1"/>
  <c r="G108" i="138"/>
  <c r="G107" i="138" s="1"/>
  <c r="G106" i="138" s="1"/>
  <c r="G105" i="138" s="1"/>
  <c r="H104" i="138"/>
  <c r="H103" i="138" s="1"/>
  <c r="H102" i="138" s="1"/>
  <c r="H101" i="138" s="1"/>
  <c r="G104" i="138"/>
  <c r="G103" i="138" s="1"/>
  <c r="G102" i="138" s="1"/>
  <c r="G101" i="138" s="1"/>
  <c r="F104" i="138"/>
  <c r="F103" i="138" s="1"/>
  <c r="F102" i="138" s="1"/>
  <c r="F101" i="138" s="1"/>
  <c r="G100" i="138"/>
  <c r="G99" i="138" s="1"/>
  <c r="F100" i="138"/>
  <c r="F99" i="138" s="1"/>
  <c r="H93" i="138"/>
  <c r="H92" i="138" s="1"/>
  <c r="H91" i="138" s="1"/>
  <c r="H90" i="138" s="1"/>
  <c r="H89" i="138" s="1"/>
  <c r="G93" i="138"/>
  <c r="G92" i="138" s="1"/>
  <c r="G91" i="138" s="1"/>
  <c r="G90" i="138" s="1"/>
  <c r="G89" i="138" s="1"/>
  <c r="F93" i="138"/>
  <c r="F92" i="138" s="1"/>
  <c r="F91" i="138" s="1"/>
  <c r="F90" i="138" s="1"/>
  <c r="F89" i="138" s="1"/>
  <c r="H88" i="138"/>
  <c r="H87" i="138" s="1"/>
  <c r="H86" i="138" s="1"/>
  <c r="H85" i="138" s="1"/>
  <c r="H84" i="138" s="1"/>
  <c r="G88" i="138"/>
  <c r="G87" i="138" s="1"/>
  <c r="G86" i="138" s="1"/>
  <c r="G85" i="138" s="1"/>
  <c r="G84" i="138" s="1"/>
  <c r="F88" i="138"/>
  <c r="F87" i="138" s="1"/>
  <c r="F86" i="138" s="1"/>
  <c r="F85" i="138" s="1"/>
  <c r="F84" i="138" s="1"/>
  <c r="H83" i="138"/>
  <c r="H82" i="138" s="1"/>
  <c r="G83" i="138"/>
  <c r="G82" i="138" s="1"/>
  <c r="G81" i="138" s="1"/>
  <c r="F83" i="138"/>
  <c r="F82" i="138" s="1"/>
  <c r="F81" i="138" s="1"/>
  <c r="F57" i="138"/>
  <c r="F56" i="138" s="1"/>
  <c r="H52" i="138"/>
  <c r="H51" i="138" s="1"/>
  <c r="H50" i="138" s="1"/>
  <c r="H49" i="138" s="1"/>
  <c r="H48" i="138" s="1"/>
  <c r="G52" i="138"/>
  <c r="G51" i="138" s="1"/>
  <c r="G50" i="138" s="1"/>
  <c r="G49" i="138" s="1"/>
  <c r="G48" i="138" s="1"/>
  <c r="F52" i="138"/>
  <c r="F51" i="138" s="1"/>
  <c r="F50" i="138" s="1"/>
  <c r="F49" i="138" s="1"/>
  <c r="H45" i="138"/>
  <c r="H42" i="138" s="1"/>
  <c r="H41" i="138" s="1"/>
  <c r="H40" i="138" s="1"/>
  <c r="H39" i="138" s="1"/>
  <c r="G45" i="138"/>
  <c r="G44" i="138" s="1"/>
  <c r="G43" i="138" s="1"/>
  <c r="F45" i="138"/>
  <c r="F44" i="138" s="1"/>
  <c r="F43" i="138" s="1"/>
  <c r="F13" i="138"/>
  <c r="F12" i="138"/>
  <c r="F11" i="138"/>
  <c r="F10" i="138"/>
  <c r="F9" i="138"/>
  <c r="F6" i="138"/>
  <c r="F5" i="138"/>
  <c r="F4" i="138"/>
  <c r="F3" i="138"/>
  <c r="F2" i="138"/>
  <c r="D82" i="137"/>
  <c r="E82" i="137"/>
  <c r="D81" i="137"/>
  <c r="E81" i="137"/>
  <c r="C82" i="137"/>
  <c r="C81" i="137"/>
  <c r="D80" i="137"/>
  <c r="E80" i="137"/>
  <c r="C80" i="137"/>
  <c r="D83" i="137"/>
  <c r="E83" i="137"/>
  <c r="C83" i="137"/>
  <c r="B83" i="137"/>
  <c r="B82" i="137"/>
  <c r="B81" i="137"/>
  <c r="C69" i="137"/>
  <c r="E68" i="137"/>
  <c r="D68" i="137"/>
  <c r="C68" i="137"/>
  <c r="C67" i="137" s="1"/>
  <c r="E67" i="137"/>
  <c r="D67" i="137"/>
  <c r="E65" i="137"/>
  <c r="D65" i="137"/>
  <c r="C65" i="137"/>
  <c r="E61" i="137"/>
  <c r="D61" i="137"/>
  <c r="C61" i="137"/>
  <c r="E46" i="137"/>
  <c r="D46" i="137"/>
  <c r="C46" i="137"/>
  <c r="E43" i="137"/>
  <c r="D43" i="137"/>
  <c r="C43" i="137"/>
  <c r="E37" i="137"/>
  <c r="D37" i="137"/>
  <c r="C37" i="137"/>
  <c r="E35" i="137"/>
  <c r="E34" i="137" s="1"/>
  <c r="D35" i="137"/>
  <c r="D34" i="137" s="1"/>
  <c r="C34" i="137"/>
  <c r="E29" i="137"/>
  <c r="D29" i="137"/>
  <c r="C29" i="137"/>
  <c r="E26" i="137"/>
  <c r="D26" i="137"/>
  <c r="C26" i="137"/>
  <c r="E24" i="137"/>
  <c r="D24" i="137"/>
  <c r="C24" i="137"/>
  <c r="E22" i="137"/>
  <c r="D22" i="137"/>
  <c r="C22" i="137"/>
  <c r="D13" i="137"/>
  <c r="D6" i="137"/>
  <c r="F137" i="138"/>
  <c r="F136" i="138" s="1"/>
  <c r="F135" i="138" s="1"/>
  <c r="F134" i="138" s="1"/>
  <c r="E31" i="107"/>
  <c r="H313" i="138" s="1"/>
  <c r="I239" i="121"/>
  <c r="H194" i="138" s="1"/>
  <c r="H193" i="138" s="1"/>
  <c r="H192" i="138" s="1"/>
  <c r="H239" i="121"/>
  <c r="G194" i="138" s="1"/>
  <c r="G193" i="138" s="1"/>
  <c r="G192" i="138" s="1"/>
  <c r="G239" i="121"/>
  <c r="F194" i="138" s="1"/>
  <c r="F193" i="138" s="1"/>
  <c r="F192" i="138" s="1"/>
  <c r="F191" i="138" s="1"/>
  <c r="F190" i="138" s="1"/>
  <c r="F189" i="138" s="1"/>
  <c r="F188" i="138" s="1"/>
  <c r="D31" i="107"/>
  <c r="G313" i="138" s="1"/>
  <c r="F65" i="139"/>
  <c r="F64" i="139" s="1"/>
  <c r="F63" i="139" s="1"/>
  <c r="F65" i="138"/>
  <c r="F64" i="138" s="1"/>
  <c r="F63" i="138" s="1"/>
  <c r="H264" i="121"/>
  <c r="D65" i="139" s="1"/>
  <c r="D64" i="139" s="1"/>
  <c r="D63" i="139" s="1"/>
  <c r="G302" i="121"/>
  <c r="B31" i="139" s="1"/>
  <c r="B30" i="139" s="1"/>
  <c r="B29" i="139" s="1"/>
  <c r="I83" i="121"/>
  <c r="F285" i="139" s="1"/>
  <c r="F284" i="139" s="1"/>
  <c r="F283" i="139" s="1"/>
  <c r="H83" i="121"/>
  <c r="D285" i="139" s="1"/>
  <c r="D284" i="139" s="1"/>
  <c r="D283" i="139" s="1"/>
  <c r="G83" i="121"/>
  <c r="F285" i="138" s="1"/>
  <c r="F284" i="138" s="1"/>
  <c r="F283" i="138" s="1"/>
  <c r="F55" i="131" l="1"/>
  <c r="F54" i="131" s="1"/>
  <c r="F53" i="131" s="1"/>
  <c r="G311" i="121"/>
  <c r="G310" i="121" s="1"/>
  <c r="G309" i="121" s="1"/>
  <c r="F48" i="131"/>
  <c r="F47" i="131" s="1"/>
  <c r="F48" i="138"/>
  <c r="B207" i="139"/>
  <c r="B206" i="139" s="1"/>
  <c r="G308" i="121"/>
  <c r="G42" i="138"/>
  <c r="G41" i="138" s="1"/>
  <c r="G40" i="138" s="1"/>
  <c r="G39" i="138" s="1"/>
  <c r="H133" i="138"/>
  <c r="H229" i="138"/>
  <c r="B137" i="139"/>
  <c r="B136" i="139" s="1"/>
  <c r="B135" i="139" s="1"/>
  <c r="B134" i="139" s="1"/>
  <c r="B133" i="139" s="1"/>
  <c r="B285" i="139"/>
  <c r="B284" i="139" s="1"/>
  <c r="B283" i="139" s="1"/>
  <c r="G30" i="141"/>
  <c r="G33" i="141"/>
  <c r="G32" i="141" s="1"/>
  <c r="G31" i="141" s="1"/>
  <c r="F133" i="138"/>
  <c r="G65" i="138"/>
  <c r="G64" i="138" s="1"/>
  <c r="G63" i="138" s="1"/>
  <c r="H65" i="138"/>
  <c r="H64" i="138" s="1"/>
  <c r="H63" i="138" s="1"/>
  <c r="F207" i="138"/>
  <c r="F206" i="138" s="1"/>
  <c r="G285" i="138"/>
  <c r="G284" i="138" s="1"/>
  <c r="G283" i="138" s="1"/>
  <c r="G282" i="138" s="1"/>
  <c r="B65" i="139"/>
  <c r="B64" i="139" s="1"/>
  <c r="B63" i="139" s="1"/>
  <c r="H285" i="138"/>
  <c r="H284" i="138" s="1"/>
  <c r="H283" i="138" s="1"/>
  <c r="H282" i="138" s="1"/>
  <c r="H80" i="138"/>
  <c r="H79" i="138" s="1"/>
  <c r="H78" i="138" s="1"/>
  <c r="H77" i="138" s="1"/>
  <c r="H81" i="138"/>
  <c r="F54" i="138"/>
  <c r="F31" i="138"/>
  <c r="F30" i="138" s="1"/>
  <c r="F29" i="138" s="1"/>
  <c r="B194" i="139"/>
  <c r="B193" i="139" s="1"/>
  <c r="B192" i="139" s="1"/>
  <c r="B191" i="139" s="1"/>
  <c r="B190" i="139" s="1"/>
  <c r="B189" i="139" s="1"/>
  <c r="B188" i="139" s="1"/>
  <c r="D194" i="139"/>
  <c r="D193" i="139" s="1"/>
  <c r="D192" i="139" s="1"/>
  <c r="F194" i="139"/>
  <c r="F193" i="139" s="1"/>
  <c r="F192" i="139" s="1"/>
  <c r="G25" i="141"/>
  <c r="G24" i="141" s="1"/>
  <c r="G23" i="141" s="1"/>
  <c r="G22" i="141" s="1"/>
  <c r="M133" i="140"/>
  <c r="I264" i="140"/>
  <c r="G48" i="140"/>
  <c r="G47" i="140" s="1"/>
  <c r="I179" i="140"/>
  <c r="I113" i="140"/>
  <c r="I112" i="140" s="1"/>
  <c r="I110" i="140" s="1"/>
  <c r="M113" i="140"/>
  <c r="M112" i="140" s="1"/>
  <c r="M111" i="140" s="1"/>
  <c r="M149" i="140"/>
  <c r="G191" i="140"/>
  <c r="M263" i="140"/>
  <c r="M262" i="140" s="1"/>
  <c r="G222" i="140"/>
  <c r="I44" i="140"/>
  <c r="M44" i="140" s="1"/>
  <c r="M43" i="140" s="1"/>
  <c r="I294" i="140"/>
  <c r="M294" i="140" s="1"/>
  <c r="M293" i="140" s="1"/>
  <c r="G27" i="140"/>
  <c r="G26" i="140" s="1"/>
  <c r="G25" i="140" s="1"/>
  <c r="G168" i="140"/>
  <c r="M211" i="140"/>
  <c r="I222" i="140"/>
  <c r="G309" i="140"/>
  <c r="G301" i="140" s="1"/>
  <c r="G300" i="140" s="1"/>
  <c r="G264" i="140"/>
  <c r="G291" i="140"/>
  <c r="I68" i="140"/>
  <c r="M68" i="140" s="1"/>
  <c r="M66" i="140" s="1"/>
  <c r="M63" i="140" s="1"/>
  <c r="M62" i="140" s="1"/>
  <c r="M61" i="140" s="1"/>
  <c r="M60" i="140" s="1"/>
  <c r="M59" i="140" s="1"/>
  <c r="M259" i="140"/>
  <c r="M258" i="140" s="1"/>
  <c r="M257" i="140" s="1"/>
  <c r="M157" i="140"/>
  <c r="M156" i="140" s="1"/>
  <c r="M155" i="140" s="1"/>
  <c r="M154" i="140" s="1"/>
  <c r="I242" i="140"/>
  <c r="I241" i="140" s="1"/>
  <c r="I240" i="140" s="1"/>
  <c r="I239" i="140" s="1"/>
  <c r="I238" i="140" s="1"/>
  <c r="M191" i="140"/>
  <c r="M190" i="140" s="1"/>
  <c r="M189" i="140" s="1"/>
  <c r="M266" i="140"/>
  <c r="M178" i="140"/>
  <c r="M174" i="140" s="1"/>
  <c r="M173" i="140" s="1"/>
  <c r="M172" i="140" s="1"/>
  <c r="M171" i="140" s="1"/>
  <c r="G268" i="140"/>
  <c r="G267" i="140" s="1"/>
  <c r="M99" i="140"/>
  <c r="M98" i="140" s="1"/>
  <c r="M97" i="140" s="1"/>
  <c r="G295" i="140"/>
  <c r="I210" i="140"/>
  <c r="I209" i="140" s="1"/>
  <c r="I208" i="140" s="1"/>
  <c r="I80" i="140"/>
  <c r="I79" i="140" s="1"/>
  <c r="I78" i="140" s="1"/>
  <c r="I77" i="140" s="1"/>
  <c r="I76" i="140" s="1"/>
  <c r="I75" i="140" s="1"/>
  <c r="I257" i="140"/>
  <c r="M27" i="140"/>
  <c r="M26" i="140" s="1"/>
  <c r="M25" i="140" s="1"/>
  <c r="G257" i="140"/>
  <c r="I314" i="140"/>
  <c r="I313" i="140" s="1"/>
  <c r="I312" i="140" s="1"/>
  <c r="I311" i="140" s="1"/>
  <c r="I310" i="140" s="1"/>
  <c r="I309" i="140" s="1"/>
  <c r="G88" i="140"/>
  <c r="G87" i="140" s="1"/>
  <c r="M309" i="140"/>
  <c r="M301" i="140" s="1"/>
  <c r="M300" i="140" s="1"/>
  <c r="G113" i="140"/>
  <c r="G112" i="140" s="1"/>
  <c r="G110" i="140" s="1"/>
  <c r="I46" i="140"/>
  <c r="I45" i="140" s="1"/>
  <c r="I174" i="140"/>
  <c r="I173" i="140" s="1"/>
  <c r="I172" i="140" s="1"/>
  <c r="I171" i="140" s="1"/>
  <c r="M88" i="140"/>
  <c r="M87" i="140" s="1"/>
  <c r="G174" i="140"/>
  <c r="G173" i="140" s="1"/>
  <c r="G172" i="140" s="1"/>
  <c r="G171" i="140" s="1"/>
  <c r="M46" i="140"/>
  <c r="M45" i="140" s="1"/>
  <c r="I88" i="140"/>
  <c r="I87" i="140" s="1"/>
  <c r="M132" i="140"/>
  <c r="M131" i="140" s="1"/>
  <c r="M130" i="140" s="1"/>
  <c r="M129" i="140" s="1"/>
  <c r="M127" i="140" s="1"/>
  <c r="I27" i="140"/>
  <c r="I26" i="140" s="1"/>
  <c r="I25" i="140" s="1"/>
  <c r="M244" i="140"/>
  <c r="I191" i="140"/>
  <c r="I190" i="140" s="1"/>
  <c r="I189" i="140" s="1"/>
  <c r="M214" i="140"/>
  <c r="I157" i="140"/>
  <c r="I156" i="140" s="1"/>
  <c r="I155" i="140" s="1"/>
  <c r="I154" i="140" s="1"/>
  <c r="I132" i="140"/>
  <c r="I131" i="140" s="1"/>
  <c r="I130" i="140" s="1"/>
  <c r="I129" i="140" s="1"/>
  <c r="M104" i="140"/>
  <c r="M105" i="140"/>
  <c r="M299" i="140"/>
  <c r="M298" i="140" s="1"/>
  <c r="M297" i="140" s="1"/>
  <c r="I298" i="140"/>
  <c r="I297" i="140" s="1"/>
  <c r="G190" i="140"/>
  <c r="G189" i="140" s="1"/>
  <c r="I214" i="140"/>
  <c r="I291" i="140"/>
  <c r="M292" i="140"/>
  <c r="M291" i="140" s="1"/>
  <c r="G80" i="140"/>
  <c r="G79" i="140" s="1"/>
  <c r="G78" i="140" s="1"/>
  <c r="G77" i="140" s="1"/>
  <c r="G76" i="140" s="1"/>
  <c r="G75" i="140" s="1"/>
  <c r="G63" i="140"/>
  <c r="G62" i="140" s="1"/>
  <c r="G61" i="140" s="1"/>
  <c r="G60" i="140" s="1"/>
  <c r="G59" i="140" s="1"/>
  <c r="G214" i="140"/>
  <c r="G245" i="140"/>
  <c r="G237" i="140" s="1"/>
  <c r="G248" i="140"/>
  <c r="G247" i="140" s="1"/>
  <c r="G246" i="140" s="1"/>
  <c r="M269" i="140"/>
  <c r="M268" i="140" s="1"/>
  <c r="M267" i="140" s="1"/>
  <c r="I268" i="140"/>
  <c r="I267" i="140" s="1"/>
  <c r="I245" i="140"/>
  <c r="I248" i="140"/>
  <c r="I247" i="140" s="1"/>
  <c r="I246" i="140" s="1"/>
  <c r="G270" i="140"/>
  <c r="G105" i="140"/>
  <c r="G104" i="140"/>
  <c r="M245" i="140"/>
  <c r="M248" i="140"/>
  <c r="M247" i="140" s="1"/>
  <c r="M246" i="140" s="1"/>
  <c r="M275" i="140"/>
  <c r="M274" i="140" s="1"/>
  <c r="M273" i="140" s="1"/>
  <c r="M272" i="140" s="1"/>
  <c r="M271" i="140" s="1"/>
  <c r="M270" i="140" s="1"/>
  <c r="M276" i="140"/>
  <c r="I295" i="140"/>
  <c r="M296" i="140"/>
  <c r="M295" i="140" s="1"/>
  <c r="G42" i="140"/>
  <c r="G41" i="140" s="1"/>
  <c r="G40" i="140" s="1"/>
  <c r="G158" i="140"/>
  <c r="G157" i="140" s="1"/>
  <c r="G156" i="140" s="1"/>
  <c r="G155" i="140" s="1"/>
  <c r="G154" i="140" s="1"/>
  <c r="G210" i="140"/>
  <c r="G209" i="140" s="1"/>
  <c r="G208" i="140" s="1"/>
  <c r="I275" i="140"/>
  <c r="I274" i="140" s="1"/>
  <c r="I273" i="140" s="1"/>
  <c r="I272" i="140" s="1"/>
  <c r="I271" i="140" s="1"/>
  <c r="I270" i="140" s="1"/>
  <c r="I276" i="140"/>
  <c r="G298" i="140"/>
  <c r="G297" i="140" s="1"/>
  <c r="G227" i="140"/>
  <c r="G226" i="140" s="1"/>
  <c r="G225" i="140" s="1"/>
  <c r="G99" i="140"/>
  <c r="G98" i="140" s="1"/>
  <c r="G97" i="140" s="1"/>
  <c r="I227" i="140"/>
  <c r="I226" i="140" s="1"/>
  <c r="I225" i="140" s="1"/>
  <c r="I99" i="140"/>
  <c r="I98" i="140" s="1"/>
  <c r="I97" i="140" s="1"/>
  <c r="I104" i="140"/>
  <c r="M227" i="140"/>
  <c r="M226" i="140" s="1"/>
  <c r="M225" i="140" s="1"/>
  <c r="I307" i="140"/>
  <c r="I306" i="140" s="1"/>
  <c r="I305" i="140" s="1"/>
  <c r="I304" i="140" s="1"/>
  <c r="I303" i="140" s="1"/>
  <c r="I302" i="140" s="1"/>
  <c r="B48" i="139"/>
  <c r="B54" i="139"/>
  <c r="F306" i="139"/>
  <c r="D80" i="139"/>
  <c r="D79" i="139" s="1"/>
  <c r="D78" i="139" s="1"/>
  <c r="D77" i="139" s="1"/>
  <c r="D81" i="139"/>
  <c r="D282" i="139"/>
  <c r="B258" i="139"/>
  <c r="F222" i="139"/>
  <c r="B42" i="139"/>
  <c r="B41" i="139" s="1"/>
  <c r="B40" i="139" s="1"/>
  <c r="B39" i="139" s="1"/>
  <c r="B98" i="139"/>
  <c r="F258" i="139"/>
  <c r="F282" i="139"/>
  <c r="B119" i="139"/>
  <c r="B118" i="139" s="1"/>
  <c r="D218" i="139"/>
  <c r="D226" i="139"/>
  <c r="F81" i="139"/>
  <c r="D258" i="139"/>
  <c r="D113" i="139"/>
  <c r="F113" i="139"/>
  <c r="F274" i="139"/>
  <c r="D222" i="139"/>
  <c r="D306" i="139"/>
  <c r="F127" i="139"/>
  <c r="F126" i="139" s="1"/>
  <c r="F125" i="139" s="1"/>
  <c r="F124" i="139" s="1"/>
  <c r="F128" i="139"/>
  <c r="B156" i="139"/>
  <c r="B155" i="139" s="1"/>
  <c r="B154" i="139" s="1"/>
  <c r="B157" i="139"/>
  <c r="B148" i="139"/>
  <c r="B147" i="139" s="1"/>
  <c r="B149" i="139"/>
  <c r="B176" i="139"/>
  <c r="B175" i="139" s="1"/>
  <c r="B174" i="139" s="1"/>
  <c r="B177" i="139"/>
  <c r="D119" i="139"/>
  <c r="D118" i="139" s="1"/>
  <c r="D120" i="139"/>
  <c r="B168" i="139"/>
  <c r="B161" i="139" s="1"/>
  <c r="B169" i="139"/>
  <c r="F119" i="139"/>
  <c r="F118" i="139" s="1"/>
  <c r="F120" i="139"/>
  <c r="F149" i="139"/>
  <c r="F148" i="139"/>
  <c r="F147" i="139" s="1"/>
  <c r="F169" i="139"/>
  <c r="F168" i="139"/>
  <c r="F161" i="139" s="1"/>
  <c r="B184" i="139"/>
  <c r="B183" i="139"/>
  <c r="B182" i="139" s="1"/>
  <c r="B181" i="139" s="1"/>
  <c r="B222" i="139"/>
  <c r="B221" i="139"/>
  <c r="D229" i="139"/>
  <c r="D42" i="139"/>
  <c r="D41" i="139" s="1"/>
  <c r="D40" i="139" s="1"/>
  <c r="D39" i="139" s="1"/>
  <c r="D44" i="139"/>
  <c r="D43" i="139" s="1"/>
  <c r="B81" i="139"/>
  <c r="B80" i="139"/>
  <c r="B79" i="139" s="1"/>
  <c r="B78" i="139" s="1"/>
  <c r="B77" i="139" s="1"/>
  <c r="D183" i="139"/>
  <c r="D182" i="139" s="1"/>
  <c r="D181" i="139" s="1"/>
  <c r="D184" i="139"/>
  <c r="F229" i="139"/>
  <c r="F42" i="139"/>
  <c r="F41" i="139" s="1"/>
  <c r="F40" i="139" s="1"/>
  <c r="F39" i="139" s="1"/>
  <c r="F44" i="139"/>
  <c r="F43" i="139" s="1"/>
  <c r="B144" i="139"/>
  <c r="B143" i="139"/>
  <c r="B142" i="139" s="1"/>
  <c r="B302" i="139"/>
  <c r="B301" i="139"/>
  <c r="B115" i="139"/>
  <c r="B113" i="139"/>
  <c r="F133" i="139"/>
  <c r="F132" i="139" s="1"/>
  <c r="F131" i="139" s="1"/>
  <c r="D143" i="139"/>
  <c r="D142" i="139" s="1"/>
  <c r="D144" i="139"/>
  <c r="D157" i="139"/>
  <c r="D156" i="139"/>
  <c r="D155" i="139" s="1"/>
  <c r="D154" i="139" s="1"/>
  <c r="D177" i="139"/>
  <c r="D176" i="139"/>
  <c r="D175" i="139" s="1"/>
  <c r="D174" i="139" s="1"/>
  <c r="F218" i="139"/>
  <c r="B310" i="139"/>
  <c r="B309" i="139"/>
  <c r="F78" i="139"/>
  <c r="F77" i="139" s="1"/>
  <c r="B218" i="139"/>
  <c r="B217" i="139"/>
  <c r="B306" i="139"/>
  <c r="B305" i="139"/>
  <c r="F226" i="139"/>
  <c r="B128" i="139"/>
  <c r="B127" i="139"/>
  <c r="B126" i="139" s="1"/>
  <c r="B125" i="139" s="1"/>
  <c r="B124" i="139" s="1"/>
  <c r="D149" i="139"/>
  <c r="D148" i="139"/>
  <c r="D147" i="139" s="1"/>
  <c r="D169" i="139"/>
  <c r="D168" i="139"/>
  <c r="D161" i="139" s="1"/>
  <c r="B226" i="139"/>
  <c r="B225" i="139"/>
  <c r="D274" i="139"/>
  <c r="D275" i="139"/>
  <c r="D97" i="139"/>
  <c r="D96" i="139" s="1"/>
  <c r="D127" i="139"/>
  <c r="D126" i="139" s="1"/>
  <c r="D125" i="139" s="1"/>
  <c r="D124" i="139" s="1"/>
  <c r="D128" i="139"/>
  <c r="F157" i="139"/>
  <c r="F156" i="139"/>
  <c r="F155" i="139" s="1"/>
  <c r="F154" i="139" s="1"/>
  <c r="F177" i="139"/>
  <c r="F176" i="139"/>
  <c r="F175" i="139" s="1"/>
  <c r="F174" i="139" s="1"/>
  <c r="F144" i="139"/>
  <c r="F184" i="139"/>
  <c r="B53" i="139"/>
  <c r="G229" i="138"/>
  <c r="F42" i="138"/>
  <c r="F41" i="138" s="1"/>
  <c r="F40" i="138" s="1"/>
  <c r="F39" i="138" s="1"/>
  <c r="H143" i="138"/>
  <c r="H142" i="138" s="1"/>
  <c r="H144" i="138"/>
  <c r="F128" i="138"/>
  <c r="F127" i="138"/>
  <c r="F126" i="138" s="1"/>
  <c r="F125" i="138" s="1"/>
  <c r="F124" i="138" s="1"/>
  <c r="F168" i="138"/>
  <c r="F161" i="138" s="1"/>
  <c r="F169" i="138"/>
  <c r="G127" i="138"/>
  <c r="G126" i="138" s="1"/>
  <c r="G125" i="138" s="1"/>
  <c r="G124" i="138" s="1"/>
  <c r="G128" i="138"/>
  <c r="G149" i="138"/>
  <c r="G148" i="138"/>
  <c r="G147" i="138" s="1"/>
  <c r="G169" i="138"/>
  <c r="G168" i="138"/>
  <c r="G161" i="138" s="1"/>
  <c r="H127" i="138"/>
  <c r="H126" i="138" s="1"/>
  <c r="H125" i="138" s="1"/>
  <c r="H124" i="138" s="1"/>
  <c r="H128" i="138"/>
  <c r="H149" i="138"/>
  <c r="H148" i="138"/>
  <c r="H147" i="138" s="1"/>
  <c r="H169" i="138"/>
  <c r="H168" i="138"/>
  <c r="H161" i="138" s="1"/>
  <c r="F98" i="138"/>
  <c r="F97" i="138"/>
  <c r="F115" i="138"/>
  <c r="F113" i="138"/>
  <c r="F156" i="138"/>
  <c r="F155" i="138" s="1"/>
  <c r="F154" i="138" s="1"/>
  <c r="F157" i="138"/>
  <c r="F176" i="138"/>
  <c r="F175" i="138" s="1"/>
  <c r="F174" i="138" s="1"/>
  <c r="F177" i="138"/>
  <c r="G97" i="138"/>
  <c r="G96" i="138" s="1"/>
  <c r="G98" i="138"/>
  <c r="G115" i="138"/>
  <c r="G113" i="138"/>
  <c r="H115" i="138"/>
  <c r="H113" i="138"/>
  <c r="G157" i="138"/>
  <c r="G156" i="138"/>
  <c r="G155" i="138" s="1"/>
  <c r="G154" i="138" s="1"/>
  <c r="G177" i="138"/>
  <c r="G176" i="138"/>
  <c r="G175" i="138" s="1"/>
  <c r="G174" i="138" s="1"/>
  <c r="F258" i="138"/>
  <c r="F148" i="138"/>
  <c r="F147" i="138" s="1"/>
  <c r="F149" i="138"/>
  <c r="H157" i="138"/>
  <c r="H156" i="138"/>
  <c r="H155" i="138" s="1"/>
  <c r="H154" i="138" s="1"/>
  <c r="H177" i="138"/>
  <c r="H176" i="138"/>
  <c r="H175" i="138" s="1"/>
  <c r="H174" i="138" s="1"/>
  <c r="G258" i="138"/>
  <c r="F55" i="138"/>
  <c r="F53" i="138"/>
  <c r="G119" i="138"/>
  <c r="G118" i="138" s="1"/>
  <c r="G120" i="138"/>
  <c r="G183" i="138"/>
  <c r="G182" i="138" s="1"/>
  <c r="G181" i="138" s="1"/>
  <c r="G184" i="138"/>
  <c r="H258" i="138"/>
  <c r="H119" i="138"/>
  <c r="H118" i="138" s="1"/>
  <c r="H120" i="138"/>
  <c r="H183" i="138"/>
  <c r="H182" i="138" s="1"/>
  <c r="H181" i="138" s="1"/>
  <c r="H184" i="138"/>
  <c r="F144" i="138"/>
  <c r="F143" i="138"/>
  <c r="F142" i="138" s="1"/>
  <c r="F184" i="138"/>
  <c r="F183" i="138"/>
  <c r="F182" i="138" s="1"/>
  <c r="F181" i="138" s="1"/>
  <c r="G274" i="138"/>
  <c r="G275" i="138"/>
  <c r="G143" i="138"/>
  <c r="G142" i="138" s="1"/>
  <c r="G144" i="138"/>
  <c r="H275" i="138"/>
  <c r="H274" i="138"/>
  <c r="F80" i="138"/>
  <c r="F79" i="138" s="1"/>
  <c r="F78" i="138" s="1"/>
  <c r="F77" i="138" s="1"/>
  <c r="F120" i="138"/>
  <c r="F217" i="138"/>
  <c r="F221" i="138"/>
  <c r="F225" i="138"/>
  <c r="F301" i="138"/>
  <c r="F305" i="138"/>
  <c r="F309" i="138"/>
  <c r="G80" i="138"/>
  <c r="G79" i="138" s="1"/>
  <c r="G78" i="138" s="1"/>
  <c r="G77" i="138" s="1"/>
  <c r="G217" i="138"/>
  <c r="G221" i="138"/>
  <c r="G225" i="138"/>
  <c r="G305" i="138"/>
  <c r="H44" i="138"/>
  <c r="H43" i="138" s="1"/>
  <c r="H217" i="138"/>
  <c r="H221" i="138"/>
  <c r="H225" i="138"/>
  <c r="H305" i="138"/>
  <c r="C42" i="137"/>
  <c r="D42" i="137"/>
  <c r="D41" i="137" s="1"/>
  <c r="E42" i="137"/>
  <c r="E41" i="137" s="1"/>
  <c r="C21" i="137"/>
  <c r="E21" i="137"/>
  <c r="D21" i="137"/>
  <c r="C41" i="137"/>
  <c r="H132" i="138" l="1"/>
  <c r="H131" i="138" s="1"/>
  <c r="G21" i="141"/>
  <c r="F132" i="138"/>
  <c r="F131" i="138" s="1"/>
  <c r="D95" i="139"/>
  <c r="D94" i="139" s="1"/>
  <c r="I237" i="140"/>
  <c r="I66" i="140"/>
  <c r="I63" i="140" s="1"/>
  <c r="I62" i="140" s="1"/>
  <c r="I61" i="140" s="1"/>
  <c r="I60" i="140" s="1"/>
  <c r="I59" i="140" s="1"/>
  <c r="G24" i="140"/>
  <c r="G23" i="140" s="1"/>
  <c r="M42" i="140"/>
  <c r="M41" i="140" s="1"/>
  <c r="M40" i="140" s="1"/>
  <c r="I293" i="140"/>
  <c r="I43" i="140"/>
  <c r="I42" i="140"/>
  <c r="I41" i="140" s="1"/>
  <c r="I40" i="140" s="1"/>
  <c r="G290" i="140"/>
  <c r="I127" i="140"/>
  <c r="I24" i="140"/>
  <c r="I23" i="140" s="1"/>
  <c r="G256" i="140"/>
  <c r="G255" i="140" s="1"/>
  <c r="G254" i="140" s="1"/>
  <c r="G253" i="140" s="1"/>
  <c r="G252" i="140" s="1"/>
  <c r="G289" i="140"/>
  <c r="G288" i="140" s="1"/>
  <c r="G287" i="140" s="1"/>
  <c r="G286" i="140" s="1"/>
  <c r="G285" i="140" s="1"/>
  <c r="M264" i="140"/>
  <c r="M256" i="140" s="1"/>
  <c r="M255" i="140" s="1"/>
  <c r="M254" i="140" s="1"/>
  <c r="M253" i="140" s="1"/>
  <c r="M252" i="140" s="1"/>
  <c r="M265" i="140"/>
  <c r="M86" i="140"/>
  <c r="M188" i="140"/>
  <c r="M170" i="140" s="1"/>
  <c r="K170" i="140" s="1"/>
  <c r="I301" i="140"/>
  <c r="I300" i="140" s="1"/>
  <c r="M24" i="140"/>
  <c r="M23" i="140" s="1"/>
  <c r="M22" i="140" s="1"/>
  <c r="I256" i="140"/>
  <c r="I255" i="140" s="1"/>
  <c r="I254" i="140" s="1"/>
  <c r="I253" i="140" s="1"/>
  <c r="I252" i="140" s="1"/>
  <c r="I86" i="140"/>
  <c r="G86" i="140"/>
  <c r="G111" i="140"/>
  <c r="I111" i="140"/>
  <c r="M110" i="140"/>
  <c r="M103" i="140" s="1"/>
  <c r="M243" i="140"/>
  <c r="M242" i="140"/>
  <c r="M241" i="140" s="1"/>
  <c r="M240" i="140" s="1"/>
  <c r="M239" i="140" s="1"/>
  <c r="M238" i="140" s="1"/>
  <c r="M237" i="140" s="1"/>
  <c r="G103" i="140"/>
  <c r="I188" i="140"/>
  <c r="I170" i="140" s="1"/>
  <c r="M290" i="140"/>
  <c r="M289" i="140" s="1"/>
  <c r="M288" i="140" s="1"/>
  <c r="M287" i="140" s="1"/>
  <c r="M286" i="140" s="1"/>
  <c r="M285" i="140" s="1"/>
  <c r="I290" i="140"/>
  <c r="I289" i="140" s="1"/>
  <c r="I288" i="140" s="1"/>
  <c r="I287" i="140" s="1"/>
  <c r="I286" i="140" s="1"/>
  <c r="I285" i="140" s="1"/>
  <c r="I103" i="140"/>
  <c r="G188" i="140"/>
  <c r="G170" i="140" s="1"/>
  <c r="B132" i="139"/>
  <c r="B131" i="139" s="1"/>
  <c r="G95" i="138"/>
  <c r="G94" i="138" s="1"/>
  <c r="E71" i="137"/>
  <c r="D71" i="137"/>
  <c r="C71" i="137"/>
  <c r="I85" i="140" l="1"/>
  <c r="G85" i="140"/>
  <c r="M85" i="140"/>
  <c r="I22" i="140"/>
  <c r="I21" i="140"/>
  <c r="I20" i="140" s="1"/>
  <c r="J252" i="140" l="1"/>
  <c r="J237" i="140"/>
  <c r="J75" i="140"/>
  <c r="J285" i="140"/>
  <c r="J270" i="140"/>
  <c r="J22" i="140"/>
  <c r="J127" i="140"/>
  <c r="J85" i="140"/>
  <c r="J170" i="140"/>
  <c r="M21" i="140"/>
  <c r="M20" i="140" s="1"/>
  <c r="K85" i="140"/>
  <c r="H32" i="121" l="1"/>
  <c r="I32" i="121"/>
  <c r="G45" i="121"/>
  <c r="B245" i="139" l="1"/>
  <c r="B244" i="139" s="1"/>
  <c r="B243" i="139" s="1"/>
  <c r="B242" i="139" s="1"/>
  <c r="B241" i="139" s="1"/>
  <c r="B240" i="139" s="1"/>
  <c r="F245" i="138"/>
  <c r="F244" i="138" s="1"/>
  <c r="F243" i="138" s="1"/>
  <c r="F242" i="138" s="1"/>
  <c r="F241" i="138" s="1"/>
  <c r="F240" i="138" s="1"/>
  <c r="F213" i="139"/>
  <c r="F211" i="139" s="1"/>
  <c r="F210" i="139" s="1"/>
  <c r="H213" i="138"/>
  <c r="H211" i="138" s="1"/>
  <c r="H210" i="138" s="1"/>
  <c r="B213" i="139"/>
  <c r="F213" i="138"/>
  <c r="G213" i="138"/>
  <c r="G211" i="138" s="1"/>
  <c r="G210" i="138" s="1"/>
  <c r="D213" i="139"/>
  <c r="D211" i="139" s="1"/>
  <c r="D210" i="139" s="1"/>
  <c r="G136" i="121"/>
  <c r="F277" i="138" l="1"/>
  <c r="F276" i="138" s="1"/>
  <c r="B277" i="139"/>
  <c r="B276" i="139" s="1"/>
  <c r="F319" i="136"/>
  <c r="F318" i="136" s="1"/>
  <c r="F317" i="136" s="1"/>
  <c r="H315" i="136"/>
  <c r="H314" i="136" s="1"/>
  <c r="G315" i="136"/>
  <c r="G314" i="136" s="1"/>
  <c r="F315" i="136"/>
  <c r="F314" i="136" s="1"/>
  <c r="F313" i="136" s="1"/>
  <c r="F311" i="136"/>
  <c r="F310" i="136" s="1"/>
  <c r="F309" i="136" s="1"/>
  <c r="H303" i="136"/>
  <c r="H302" i="136" s="1"/>
  <c r="H301" i="136" s="1"/>
  <c r="H300" i="136" s="1"/>
  <c r="G303" i="136"/>
  <c r="G302" i="136" s="1"/>
  <c r="G301" i="136" s="1"/>
  <c r="G300" i="136" s="1"/>
  <c r="H299" i="136"/>
  <c r="H298" i="136" s="1"/>
  <c r="H297" i="136" s="1"/>
  <c r="H296" i="136" s="1"/>
  <c r="G299" i="136"/>
  <c r="G298" i="136" s="1"/>
  <c r="G297" i="136" s="1"/>
  <c r="G296" i="136" s="1"/>
  <c r="F299" i="136"/>
  <c r="F298" i="136" s="1"/>
  <c r="F297" i="136" s="1"/>
  <c r="F296" i="136" s="1"/>
  <c r="H295" i="136"/>
  <c r="H294" i="136" s="1"/>
  <c r="H293" i="136" s="1"/>
  <c r="G295" i="136"/>
  <c r="G294" i="136" s="1"/>
  <c r="G293" i="136" s="1"/>
  <c r="H292" i="136"/>
  <c r="H291" i="136" s="1"/>
  <c r="H290" i="136" s="1"/>
  <c r="G292" i="136"/>
  <c r="G291" i="136" s="1"/>
  <c r="G290" i="136" s="1"/>
  <c r="F292" i="136"/>
  <c r="F291" i="136" s="1"/>
  <c r="F290" i="136" s="1"/>
  <c r="H288" i="136"/>
  <c r="H287" i="136" s="1"/>
  <c r="H286" i="136" s="1"/>
  <c r="H285" i="136" s="1"/>
  <c r="G288" i="136"/>
  <c r="G287" i="136" s="1"/>
  <c r="G286" i="136" s="1"/>
  <c r="G285" i="136" s="1"/>
  <c r="F288" i="136"/>
  <c r="F287" i="136" s="1"/>
  <c r="F286" i="136" s="1"/>
  <c r="F285" i="136" s="1"/>
  <c r="H284" i="136"/>
  <c r="H283" i="136" s="1"/>
  <c r="G284" i="136"/>
  <c r="G283" i="136" s="1"/>
  <c r="F284" i="136"/>
  <c r="F283" i="136" s="1"/>
  <c r="H280" i="136"/>
  <c r="H279" i="136" s="1"/>
  <c r="H278" i="136" s="1"/>
  <c r="H277" i="136" s="1"/>
  <c r="G280" i="136"/>
  <c r="G279" i="136" s="1"/>
  <c r="G278" i="136" s="1"/>
  <c r="G277" i="136" s="1"/>
  <c r="F280" i="136"/>
  <c r="F279" i="136" s="1"/>
  <c r="F278" i="136" s="1"/>
  <c r="F277" i="136" s="1"/>
  <c r="H273" i="136"/>
  <c r="H272" i="136" s="1"/>
  <c r="H271" i="136" s="1"/>
  <c r="H270" i="136" s="1"/>
  <c r="G273" i="136"/>
  <c r="G272" i="136" s="1"/>
  <c r="G271" i="136" s="1"/>
  <c r="G270" i="136" s="1"/>
  <c r="F273" i="136"/>
  <c r="F272" i="136" s="1"/>
  <c r="F271" i="136" s="1"/>
  <c r="F270" i="136" s="1"/>
  <c r="H269" i="136"/>
  <c r="H268" i="136" s="1"/>
  <c r="G269" i="136"/>
  <c r="G268" i="136" s="1"/>
  <c r="F269" i="136"/>
  <c r="F268" i="136" s="1"/>
  <c r="H267" i="136"/>
  <c r="H266" i="136" s="1"/>
  <c r="G267" i="136"/>
  <c r="G266" i="136" s="1"/>
  <c r="F267" i="136"/>
  <c r="F266" i="136" s="1"/>
  <c r="H262" i="136"/>
  <c r="H261" i="136" s="1"/>
  <c r="G262" i="136"/>
  <c r="G261" i="136" s="1"/>
  <c r="F262" i="136"/>
  <c r="F261" i="136" s="1"/>
  <c r="H259" i="136"/>
  <c r="H258" i="136" s="1"/>
  <c r="H257" i="136" s="1"/>
  <c r="G259" i="136"/>
  <c r="G258" i="136" s="1"/>
  <c r="G257" i="136" s="1"/>
  <c r="F252" i="136"/>
  <c r="F251" i="136" s="1"/>
  <c r="F250" i="136" s="1"/>
  <c r="F249" i="136" s="1"/>
  <c r="F248" i="136" s="1"/>
  <c r="F247" i="136" s="1"/>
  <c r="H242" i="136"/>
  <c r="H241" i="136" s="1"/>
  <c r="H240" i="136" s="1"/>
  <c r="G242" i="136"/>
  <c r="G241" i="136" s="1"/>
  <c r="G240" i="136" s="1"/>
  <c r="H239" i="136"/>
  <c r="H238" i="136" s="1"/>
  <c r="H237" i="136" s="1"/>
  <c r="H235" i="136"/>
  <c r="H234" i="136" s="1"/>
  <c r="G235" i="136"/>
  <c r="G234" i="136" s="1"/>
  <c r="G233" i="136" s="1"/>
  <c r="F235" i="136"/>
  <c r="F234" i="136" s="1"/>
  <c r="F233" i="136" s="1"/>
  <c r="H231" i="136"/>
  <c r="H230" i="136" s="1"/>
  <c r="H229" i="136" s="1"/>
  <c r="G231" i="136"/>
  <c r="G230" i="136" s="1"/>
  <c r="G229" i="136" s="1"/>
  <c r="F231" i="136"/>
  <c r="F230" i="136" s="1"/>
  <c r="F229" i="136" s="1"/>
  <c r="H227" i="136"/>
  <c r="H226" i="136" s="1"/>
  <c r="G227" i="136"/>
  <c r="G226" i="136" s="1"/>
  <c r="F227" i="136"/>
  <c r="F226" i="136" s="1"/>
  <c r="F225" i="136" s="1"/>
  <c r="H223" i="136"/>
  <c r="H222" i="136" s="1"/>
  <c r="H221" i="136" s="1"/>
  <c r="G223" i="136"/>
  <c r="G222" i="136" s="1"/>
  <c r="G221" i="136" s="1"/>
  <c r="F223" i="136"/>
  <c r="F222" i="136" s="1"/>
  <c r="F221" i="136" s="1"/>
  <c r="H220" i="136"/>
  <c r="G220" i="136"/>
  <c r="F220" i="136"/>
  <c r="H219" i="136"/>
  <c r="G219" i="136"/>
  <c r="F216" i="136"/>
  <c r="F215" i="136"/>
  <c r="F209" i="136"/>
  <c r="F208" i="136" s="1"/>
  <c r="F207" i="136" s="1"/>
  <c r="F206" i="136" s="1"/>
  <c r="F205" i="136" s="1"/>
  <c r="F204" i="136" s="1"/>
  <c r="F201" i="136"/>
  <c r="F200" i="136" s="1"/>
  <c r="F199" i="136" s="1"/>
  <c r="F198" i="136" s="1"/>
  <c r="F197" i="136" s="1"/>
  <c r="F196" i="136" s="1"/>
  <c r="F195" i="136" s="1"/>
  <c r="H197" i="136"/>
  <c r="G197" i="136"/>
  <c r="G196" i="136" s="1"/>
  <c r="G195" i="136" s="1"/>
  <c r="H196" i="136"/>
  <c r="H195" i="136"/>
  <c r="H194" i="136"/>
  <c r="H193" i="136" s="1"/>
  <c r="H192" i="136" s="1"/>
  <c r="G194" i="136"/>
  <c r="G193" i="136" s="1"/>
  <c r="G192" i="136" s="1"/>
  <c r="F194" i="136"/>
  <c r="F193" i="136" s="1"/>
  <c r="F192" i="136" s="1"/>
  <c r="H187" i="136"/>
  <c r="H186" i="136" s="1"/>
  <c r="H185" i="136" s="1"/>
  <c r="G187" i="136"/>
  <c r="G186" i="136" s="1"/>
  <c r="G185" i="136" s="1"/>
  <c r="F187" i="136"/>
  <c r="F186" i="136" s="1"/>
  <c r="F185" i="136" s="1"/>
  <c r="H180" i="136"/>
  <c r="H179" i="136" s="1"/>
  <c r="H178" i="136" s="1"/>
  <c r="H177" i="136" s="1"/>
  <c r="G180" i="136"/>
  <c r="G179" i="136" s="1"/>
  <c r="G178" i="136" s="1"/>
  <c r="G177" i="136" s="1"/>
  <c r="F180" i="136"/>
  <c r="F179" i="136" s="1"/>
  <c r="F178" i="136" s="1"/>
  <c r="F177" i="136" s="1"/>
  <c r="H174" i="136"/>
  <c r="H173" i="136" s="1"/>
  <c r="H172" i="136" s="1"/>
  <c r="H171" i="136" s="1"/>
  <c r="H170" i="136" s="1"/>
  <c r="H169" i="136" s="1"/>
  <c r="G174" i="136"/>
  <c r="G173" i="136" s="1"/>
  <c r="G172" i="136" s="1"/>
  <c r="G171" i="136" s="1"/>
  <c r="G170" i="136" s="1"/>
  <c r="G169" i="136" s="1"/>
  <c r="F174" i="136"/>
  <c r="F173" i="136" s="1"/>
  <c r="F172" i="136" s="1"/>
  <c r="F171" i="136" s="1"/>
  <c r="F170" i="136" s="1"/>
  <c r="F169" i="136" s="1"/>
  <c r="H167" i="136"/>
  <c r="H166" i="136" s="1"/>
  <c r="H165" i="136" s="1"/>
  <c r="G167" i="136"/>
  <c r="G166" i="136" s="1"/>
  <c r="G165" i="136" s="1"/>
  <c r="F167" i="136"/>
  <c r="F166" i="136" s="1"/>
  <c r="F165" i="136" s="1"/>
  <c r="H160" i="136"/>
  <c r="H159" i="136" s="1"/>
  <c r="H158" i="136" s="1"/>
  <c r="H157" i="136" s="1"/>
  <c r="G160" i="136"/>
  <c r="G159" i="136" s="1"/>
  <c r="G158" i="136" s="1"/>
  <c r="G157" i="136" s="1"/>
  <c r="F160" i="136"/>
  <c r="F159" i="136" s="1"/>
  <c r="F158" i="136" s="1"/>
  <c r="F157" i="136" s="1"/>
  <c r="H153" i="136"/>
  <c r="H152" i="136" s="1"/>
  <c r="G153" i="136"/>
  <c r="G152" i="136" s="1"/>
  <c r="F153" i="136"/>
  <c r="F152" i="136" s="1"/>
  <c r="F151" i="136" s="1"/>
  <c r="H148" i="136"/>
  <c r="H147" i="136" s="1"/>
  <c r="H146" i="136" s="1"/>
  <c r="H145" i="136" s="1"/>
  <c r="G148" i="136"/>
  <c r="G147" i="136" s="1"/>
  <c r="G146" i="136" s="1"/>
  <c r="G145" i="136" s="1"/>
  <c r="F148" i="136"/>
  <c r="F147" i="136" s="1"/>
  <c r="F146" i="136" s="1"/>
  <c r="F145" i="136" s="1"/>
  <c r="H144" i="136"/>
  <c r="H143" i="136" s="1"/>
  <c r="H142" i="136" s="1"/>
  <c r="H141" i="136" s="1"/>
  <c r="F144" i="136"/>
  <c r="F143" i="136" s="1"/>
  <c r="F142" i="136" s="1"/>
  <c r="F141" i="136" s="1"/>
  <c r="H137" i="136"/>
  <c r="H136" i="136" s="1"/>
  <c r="G137" i="136"/>
  <c r="G136" i="136" s="1"/>
  <c r="F137" i="136"/>
  <c r="F136" i="136" s="1"/>
  <c r="F135" i="136" s="1"/>
  <c r="H130" i="136"/>
  <c r="H129" i="136" s="1"/>
  <c r="H128" i="136" s="1"/>
  <c r="G130" i="136"/>
  <c r="G129" i="136" s="1"/>
  <c r="G128" i="136" s="1"/>
  <c r="F128" i="136"/>
  <c r="F126" i="136" s="1"/>
  <c r="F125" i="136" s="1"/>
  <c r="H124" i="136"/>
  <c r="H123" i="136" s="1"/>
  <c r="H121" i="136" s="1"/>
  <c r="G124" i="136"/>
  <c r="G123" i="136" s="1"/>
  <c r="G121" i="136" s="1"/>
  <c r="F124" i="136"/>
  <c r="F123" i="136" s="1"/>
  <c r="F121" i="136" s="1"/>
  <c r="H119" i="136"/>
  <c r="H118" i="136" s="1"/>
  <c r="H117" i="136" s="1"/>
  <c r="H116" i="136" s="1"/>
  <c r="G119" i="136"/>
  <c r="G118" i="136" s="1"/>
  <c r="G117" i="136" s="1"/>
  <c r="G116" i="136" s="1"/>
  <c r="F119" i="136"/>
  <c r="F118" i="136" s="1"/>
  <c r="F117" i="136" s="1"/>
  <c r="F116" i="136" s="1"/>
  <c r="H115" i="136"/>
  <c r="H114" i="136" s="1"/>
  <c r="H113" i="136" s="1"/>
  <c r="H112" i="136" s="1"/>
  <c r="G115" i="136"/>
  <c r="G114" i="136" s="1"/>
  <c r="G113" i="136" s="1"/>
  <c r="G112" i="136" s="1"/>
  <c r="H111" i="136"/>
  <c r="H110" i="136" s="1"/>
  <c r="H109" i="136" s="1"/>
  <c r="H108" i="136" s="1"/>
  <c r="G111" i="136"/>
  <c r="G110" i="136" s="1"/>
  <c r="G109" i="136" s="1"/>
  <c r="G108" i="136" s="1"/>
  <c r="F111" i="136"/>
  <c r="F110" i="136" s="1"/>
  <c r="F109" i="136" s="1"/>
  <c r="F108" i="136" s="1"/>
  <c r="G107" i="136"/>
  <c r="G106" i="136" s="1"/>
  <c r="F107" i="136"/>
  <c r="F106" i="136" s="1"/>
  <c r="H100" i="136"/>
  <c r="H99" i="136" s="1"/>
  <c r="H98" i="136" s="1"/>
  <c r="H97" i="136" s="1"/>
  <c r="H96" i="136" s="1"/>
  <c r="G100" i="136"/>
  <c r="G99" i="136" s="1"/>
  <c r="G98" i="136" s="1"/>
  <c r="G97" i="136" s="1"/>
  <c r="G96" i="136" s="1"/>
  <c r="F100" i="136"/>
  <c r="F99" i="136" s="1"/>
  <c r="F98" i="136" s="1"/>
  <c r="F97" i="136" s="1"/>
  <c r="F96" i="136" s="1"/>
  <c r="H95" i="136"/>
  <c r="H94" i="136" s="1"/>
  <c r="H93" i="136" s="1"/>
  <c r="H92" i="136" s="1"/>
  <c r="H91" i="136" s="1"/>
  <c r="G95" i="136"/>
  <c r="G94" i="136" s="1"/>
  <c r="G93" i="136" s="1"/>
  <c r="G92" i="136" s="1"/>
  <c r="G91" i="136" s="1"/>
  <c r="F95" i="136"/>
  <c r="F94" i="136" s="1"/>
  <c r="F93" i="136" s="1"/>
  <c r="F92" i="136" s="1"/>
  <c r="F91" i="136" s="1"/>
  <c r="H90" i="136"/>
  <c r="H89" i="136" s="1"/>
  <c r="H88" i="136" s="1"/>
  <c r="G90" i="136"/>
  <c r="G89" i="136" s="1"/>
  <c r="F90" i="136"/>
  <c r="F89" i="136" s="1"/>
  <c r="F88" i="136" s="1"/>
  <c r="F64" i="136"/>
  <c r="F61" i="136" s="1"/>
  <c r="H59" i="136"/>
  <c r="H58" i="136" s="1"/>
  <c r="H57" i="136" s="1"/>
  <c r="H56" i="136" s="1"/>
  <c r="H55" i="136" s="1"/>
  <c r="G59" i="136"/>
  <c r="G58" i="136" s="1"/>
  <c r="G57" i="136" s="1"/>
  <c r="G56" i="136" s="1"/>
  <c r="G55" i="136" s="1"/>
  <c r="F59" i="136"/>
  <c r="F58" i="136" s="1"/>
  <c r="F57" i="136" s="1"/>
  <c r="F56" i="136" s="1"/>
  <c r="H52" i="136"/>
  <c r="H49" i="136" s="1"/>
  <c r="H48" i="136" s="1"/>
  <c r="H47" i="136" s="1"/>
  <c r="H46" i="136" s="1"/>
  <c r="G52" i="136"/>
  <c r="G49" i="136" s="1"/>
  <c r="G48" i="136" s="1"/>
  <c r="G47" i="136" s="1"/>
  <c r="G46" i="136" s="1"/>
  <c r="F52" i="136"/>
  <c r="F51" i="136" s="1"/>
  <c r="F50" i="136" s="1"/>
  <c r="H45" i="136"/>
  <c r="H44" i="136" s="1"/>
  <c r="H42" i="136" s="1"/>
  <c r="H41" i="136" s="1"/>
  <c r="H40" i="136" s="1"/>
  <c r="G45" i="136"/>
  <c r="G44" i="136" s="1"/>
  <c r="G42" i="136" s="1"/>
  <c r="G41" i="136" s="1"/>
  <c r="G40" i="136" s="1"/>
  <c r="F32" i="136"/>
  <c r="F31" i="136" s="1"/>
  <c r="F30" i="136" s="1"/>
  <c r="F13" i="136"/>
  <c r="F12" i="136"/>
  <c r="F11" i="136"/>
  <c r="F10" i="136"/>
  <c r="F9" i="136"/>
  <c r="F6" i="136"/>
  <c r="F5" i="136"/>
  <c r="F4" i="136"/>
  <c r="F3" i="136"/>
  <c r="F2" i="136"/>
  <c r="H36" i="126"/>
  <c r="G36" i="126"/>
  <c r="B2" i="135"/>
  <c r="C36" i="130"/>
  <c r="B274" i="139" l="1"/>
  <c r="B275" i="139"/>
  <c r="F274" i="138"/>
  <c r="F275" i="138"/>
  <c r="G51" i="136"/>
  <c r="G50" i="136" s="1"/>
  <c r="F265" i="136"/>
  <c r="G313" i="136"/>
  <c r="G312" i="136"/>
  <c r="G218" i="136"/>
  <c r="G217" i="136" s="1"/>
  <c r="H218" i="136"/>
  <c r="H217" i="136" s="1"/>
  <c r="F63" i="136"/>
  <c r="F62" i="136" s="1"/>
  <c r="F49" i="136"/>
  <c r="F48" i="136" s="1"/>
  <c r="F47" i="136" s="1"/>
  <c r="F46" i="136" s="1"/>
  <c r="H233" i="136"/>
  <c r="H232" i="136"/>
  <c r="G225" i="136"/>
  <c r="G224" i="136"/>
  <c r="H225" i="136"/>
  <c r="H224" i="136"/>
  <c r="H313" i="136"/>
  <c r="H312" i="136"/>
  <c r="G228" i="136"/>
  <c r="F214" i="136"/>
  <c r="F213" i="136" s="1"/>
  <c r="H140" i="136"/>
  <c r="F55" i="136"/>
  <c r="F140" i="136"/>
  <c r="G265" i="136"/>
  <c r="G289" i="136"/>
  <c r="H265" i="136"/>
  <c r="H289" i="136"/>
  <c r="F150" i="136"/>
  <c r="F149" i="136" s="1"/>
  <c r="H228" i="136"/>
  <c r="H87" i="136"/>
  <c r="H86" i="136" s="1"/>
  <c r="H85" i="136" s="1"/>
  <c r="H84" i="136" s="1"/>
  <c r="G232" i="136"/>
  <c r="G164" i="136"/>
  <c r="G163" i="136"/>
  <c r="G162" i="136" s="1"/>
  <c r="G161" i="136" s="1"/>
  <c r="F105" i="136"/>
  <c r="F104" i="136"/>
  <c r="G122" i="136"/>
  <c r="G120" i="136"/>
  <c r="G134" i="136"/>
  <c r="G133" i="136" s="1"/>
  <c r="G132" i="136" s="1"/>
  <c r="G131" i="136" s="1"/>
  <c r="G135" i="136"/>
  <c r="H164" i="136"/>
  <c r="H163" i="136"/>
  <c r="H162" i="136" s="1"/>
  <c r="H161" i="136" s="1"/>
  <c r="G184" i="136"/>
  <c r="G183" i="136"/>
  <c r="G182" i="136" s="1"/>
  <c r="G181" i="136" s="1"/>
  <c r="F183" i="136"/>
  <c r="F182" i="136" s="1"/>
  <c r="F181" i="136" s="1"/>
  <c r="F184" i="136"/>
  <c r="G105" i="136"/>
  <c r="G104" i="136"/>
  <c r="G103" i="136" s="1"/>
  <c r="H122" i="136"/>
  <c r="H120" i="136"/>
  <c r="H134" i="136"/>
  <c r="H133" i="136" s="1"/>
  <c r="H132" i="136" s="1"/>
  <c r="H131" i="136" s="1"/>
  <c r="H135" i="136"/>
  <c r="H184" i="136"/>
  <c r="H183" i="136"/>
  <c r="H182" i="136" s="1"/>
  <c r="H181" i="136" s="1"/>
  <c r="G88" i="136"/>
  <c r="G87" i="136"/>
  <c r="G86" i="136" s="1"/>
  <c r="G85" i="136" s="1"/>
  <c r="G84" i="136" s="1"/>
  <c r="F122" i="136"/>
  <c r="F120" i="136"/>
  <c r="G150" i="136"/>
  <c r="G149" i="136" s="1"/>
  <c r="G151" i="136"/>
  <c r="G190" i="136"/>
  <c r="G189" i="136" s="1"/>
  <c r="G188" i="136" s="1"/>
  <c r="G191" i="136"/>
  <c r="H150" i="136"/>
  <c r="H149" i="136" s="1"/>
  <c r="H151" i="136"/>
  <c r="F191" i="136"/>
  <c r="F190" i="136"/>
  <c r="F189" i="136" s="1"/>
  <c r="F188" i="136" s="1"/>
  <c r="G156" i="136"/>
  <c r="G155" i="136"/>
  <c r="G154" i="136" s="1"/>
  <c r="H156" i="136"/>
  <c r="H155" i="136"/>
  <c r="H154" i="136" s="1"/>
  <c r="G176" i="136"/>
  <c r="G175" i="136"/>
  <c r="G168" i="136" s="1"/>
  <c r="H190" i="136"/>
  <c r="H189" i="136" s="1"/>
  <c r="H188" i="136" s="1"/>
  <c r="H191" i="136"/>
  <c r="F282" i="136"/>
  <c r="F281" i="136"/>
  <c r="G282" i="136"/>
  <c r="G281" i="136"/>
  <c r="H176" i="136"/>
  <c r="H175" i="136"/>
  <c r="H168" i="136" s="1"/>
  <c r="F175" i="136"/>
  <c r="F168" i="136" s="1"/>
  <c r="F176" i="136"/>
  <c r="H236" i="136"/>
  <c r="H282" i="136"/>
  <c r="H281" i="136"/>
  <c r="G126" i="136"/>
  <c r="G125" i="136" s="1"/>
  <c r="G127" i="136"/>
  <c r="F155" i="136"/>
  <c r="F154" i="136" s="1"/>
  <c r="F156" i="136"/>
  <c r="H126" i="136"/>
  <c r="H125" i="136" s="1"/>
  <c r="H127" i="136"/>
  <c r="F163" i="136"/>
  <c r="F162" i="136" s="1"/>
  <c r="F161" i="136" s="1"/>
  <c r="F164" i="136"/>
  <c r="F87" i="136"/>
  <c r="F86" i="136" s="1"/>
  <c r="F85" i="136" s="1"/>
  <c r="F84" i="136" s="1"/>
  <c r="F127" i="136"/>
  <c r="F224" i="136"/>
  <c r="F228" i="136"/>
  <c r="F232" i="136"/>
  <c r="F308" i="136"/>
  <c r="F312" i="136"/>
  <c r="F316" i="136"/>
  <c r="G43" i="136"/>
  <c r="H43" i="136"/>
  <c r="H51" i="136"/>
  <c r="H50" i="136" s="1"/>
  <c r="F134" i="136"/>
  <c r="F133" i="136" s="1"/>
  <c r="F132" i="136" s="1"/>
  <c r="F131" i="136" s="1"/>
  <c r="C14" i="133"/>
  <c r="F60" i="136" l="1"/>
  <c r="F139" i="136"/>
  <c r="F138" i="136" s="1"/>
  <c r="H139" i="136"/>
  <c r="H138" i="136" s="1"/>
  <c r="G102" i="136"/>
  <c r="G101" i="136" s="1"/>
  <c r="C44" i="130"/>
  <c r="C31" i="130"/>
  <c r="C33" i="130"/>
  <c r="C41" i="130"/>
  <c r="A44" i="133" l="1"/>
  <c r="A29" i="133"/>
  <c r="G120" i="121"/>
  <c r="G118" i="121"/>
  <c r="G85" i="121"/>
  <c r="F295" i="136" l="1"/>
  <c r="F294" i="136" s="1"/>
  <c r="F293" i="136" s="1"/>
  <c r="F289" i="136" s="1"/>
  <c r="B288" i="139"/>
  <c r="B287" i="139" s="1"/>
  <c r="B286" i="139" s="1"/>
  <c r="B282" i="139" s="1"/>
  <c r="F288" i="138"/>
  <c r="F287" i="138" s="1"/>
  <c r="F286" i="138" s="1"/>
  <c r="F282" i="138" s="1"/>
  <c r="F239" i="136"/>
  <c r="F238" i="136" s="1"/>
  <c r="F237" i="136" s="1"/>
  <c r="B232" i="139"/>
  <c r="B231" i="139" s="1"/>
  <c r="B230" i="139" s="1"/>
  <c r="F232" i="138"/>
  <c r="F231" i="138" s="1"/>
  <c r="F230" i="138" s="1"/>
  <c r="F242" i="136"/>
  <c r="F241" i="136" s="1"/>
  <c r="F240" i="136" s="1"/>
  <c r="F235" i="138"/>
  <c r="F234" i="138" s="1"/>
  <c r="F233" i="138" s="1"/>
  <c r="B235" i="139"/>
  <c r="B234" i="139" s="1"/>
  <c r="B233" i="139" s="1"/>
  <c r="B229" i="139" l="1"/>
  <c r="F259" i="136"/>
  <c r="F258" i="136" s="1"/>
  <c r="F257" i="136" s="1"/>
  <c r="B252" i="139"/>
  <c r="B251" i="139" s="1"/>
  <c r="B250" i="139" s="1"/>
  <c r="F252" i="138"/>
  <c r="F251" i="138" s="1"/>
  <c r="F250" i="138" s="1"/>
  <c r="F229" i="138"/>
  <c r="F236" i="136"/>
  <c r="G48" i="126"/>
  <c r="H48" i="126"/>
  <c r="H6" i="133"/>
  <c r="D6" i="133"/>
  <c r="I169" i="121"/>
  <c r="H169" i="121"/>
  <c r="G169" i="121"/>
  <c r="F307" i="136" l="1"/>
  <c r="F306" i="136" s="1"/>
  <c r="F304" i="136" s="1"/>
  <c r="F300" i="138"/>
  <c r="F299" i="138" s="1"/>
  <c r="B300" i="139"/>
  <c r="B299" i="139" s="1"/>
  <c r="G307" i="136"/>
  <c r="G306" i="136" s="1"/>
  <c r="G305" i="136" s="1"/>
  <c r="G300" i="138"/>
  <c r="G299" i="138" s="1"/>
  <c r="D300" i="139"/>
  <c r="D299" i="139" s="1"/>
  <c r="H307" i="136"/>
  <c r="H306" i="136" s="1"/>
  <c r="H305" i="136" s="1"/>
  <c r="H300" i="138"/>
  <c r="H299" i="138" s="1"/>
  <c r="F300" i="139"/>
  <c r="F299" i="139" s="1"/>
  <c r="F305" i="136"/>
  <c r="G335" i="121"/>
  <c r="H298" i="138" l="1"/>
  <c r="H297" i="138"/>
  <c r="B298" i="139"/>
  <c r="B297" i="139"/>
  <c r="F297" i="139"/>
  <c r="F298" i="139"/>
  <c r="G298" i="138"/>
  <c r="G297" i="138"/>
  <c r="F298" i="138"/>
  <c r="F297" i="138"/>
  <c r="D297" i="139"/>
  <c r="D298" i="139"/>
  <c r="F219" i="136"/>
  <c r="F218" i="136" s="1"/>
  <c r="F217" i="136" s="1"/>
  <c r="F212" i="136" s="1"/>
  <c r="B212" i="139"/>
  <c r="B211" i="139" s="1"/>
  <c r="B210" i="139" s="1"/>
  <c r="B205" i="139" s="1"/>
  <c r="F212" i="138"/>
  <c r="F211" i="138" s="1"/>
  <c r="F210" i="138" s="1"/>
  <c r="F205" i="138" s="1"/>
  <c r="H304" i="136"/>
  <c r="G304" i="136"/>
  <c r="F45" i="136"/>
  <c r="F44" i="136" s="1"/>
  <c r="G201" i="136"/>
  <c r="G200" i="136" s="1"/>
  <c r="G199" i="136" s="1"/>
  <c r="H201" i="136"/>
  <c r="H200" i="136" s="1"/>
  <c r="H199" i="136" s="1"/>
  <c r="H262" i="121"/>
  <c r="H72" i="136"/>
  <c r="H71" i="136" s="1"/>
  <c r="H70" i="136" s="1"/>
  <c r="G72" i="136"/>
  <c r="G71" i="136" s="1"/>
  <c r="G70" i="136" s="1"/>
  <c r="F72" i="136"/>
  <c r="F71" i="136" s="1"/>
  <c r="F70" i="136" s="1"/>
  <c r="H266" i="121"/>
  <c r="G266" i="121"/>
  <c r="H269" i="121"/>
  <c r="G269" i="121"/>
  <c r="G272" i="121"/>
  <c r="G300" i="121"/>
  <c r="H302" i="121"/>
  <c r="I302" i="121" s="1"/>
  <c r="G304" i="121"/>
  <c r="G307" i="121"/>
  <c r="H333" i="121"/>
  <c r="F38" i="138" l="1"/>
  <c r="F37" i="138" s="1"/>
  <c r="F36" i="138" s="1"/>
  <c r="F35" i="138" s="1"/>
  <c r="B38" i="139"/>
  <c r="B37" i="139" s="1"/>
  <c r="B36" i="139" s="1"/>
  <c r="B35" i="139" s="1"/>
  <c r="D31" i="139"/>
  <c r="D30" i="139" s="1"/>
  <c r="D29" i="139" s="1"/>
  <c r="G31" i="138"/>
  <c r="G30" i="138" s="1"/>
  <c r="G29" i="138" s="1"/>
  <c r="G208" i="138"/>
  <c r="G207" i="138" s="1"/>
  <c r="G206" i="138" s="1"/>
  <c r="G205" i="138" s="1"/>
  <c r="D208" i="139"/>
  <c r="D207" i="139" s="1"/>
  <c r="D206" i="139" s="1"/>
  <c r="D205" i="139" s="1"/>
  <c r="B28" i="139"/>
  <c r="B27" i="139" s="1"/>
  <c r="B26" i="139" s="1"/>
  <c r="F28" i="138"/>
  <c r="F27" i="138" s="1"/>
  <c r="F26" i="138" s="1"/>
  <c r="B76" i="139"/>
  <c r="B75" i="139" s="1"/>
  <c r="B74" i="139" s="1"/>
  <c r="B73" i="139" s="1"/>
  <c r="F76" i="138"/>
  <c r="F75" i="138" s="1"/>
  <c r="F74" i="138" s="1"/>
  <c r="F73" i="138" s="1"/>
  <c r="F79" i="136"/>
  <c r="F78" i="136" s="1"/>
  <c r="F77" i="136" s="1"/>
  <c r="F76" i="136" s="1"/>
  <c r="F72" i="138"/>
  <c r="F71" i="138" s="1"/>
  <c r="F70" i="138" s="1"/>
  <c r="F69" i="138" s="1"/>
  <c r="B72" i="139"/>
  <c r="B71" i="139" s="1"/>
  <c r="B70" i="139" s="1"/>
  <c r="B69" i="139" s="1"/>
  <c r="F75" i="136"/>
  <c r="F74" i="136" s="1"/>
  <c r="F73" i="136" s="1"/>
  <c r="B68" i="139"/>
  <c r="B67" i="139" s="1"/>
  <c r="B66" i="139" s="1"/>
  <c r="F68" i="138"/>
  <c r="F67" i="138" s="1"/>
  <c r="F66" i="138" s="1"/>
  <c r="F69" i="136"/>
  <c r="F68" i="136" s="1"/>
  <c r="F67" i="136" s="1"/>
  <c r="F66" i="136" s="1"/>
  <c r="F62" i="138"/>
  <c r="F61" i="138" s="1"/>
  <c r="F60" i="138" s="1"/>
  <c r="F59" i="138" s="1"/>
  <c r="B62" i="139"/>
  <c r="B61" i="139" s="1"/>
  <c r="B60" i="139" s="1"/>
  <c r="B59" i="139" s="1"/>
  <c r="D68" i="139"/>
  <c r="D67" i="139" s="1"/>
  <c r="D66" i="139" s="1"/>
  <c r="G68" i="138"/>
  <c r="G67" i="138" s="1"/>
  <c r="G66" i="138" s="1"/>
  <c r="B34" i="139"/>
  <c r="B33" i="139" s="1"/>
  <c r="B32" i="139" s="1"/>
  <c r="F34" i="138"/>
  <c r="F33" i="138" s="1"/>
  <c r="F32" i="138" s="1"/>
  <c r="G57" i="138"/>
  <c r="D57" i="139"/>
  <c r="G69" i="136"/>
  <c r="G68" i="136" s="1"/>
  <c r="G67" i="136" s="1"/>
  <c r="G62" i="138"/>
  <c r="G61" i="138" s="1"/>
  <c r="G60" i="138" s="1"/>
  <c r="D62" i="139"/>
  <c r="D61" i="139" s="1"/>
  <c r="D60" i="139" s="1"/>
  <c r="G72" i="138"/>
  <c r="G71" i="138" s="1"/>
  <c r="G70" i="138" s="1"/>
  <c r="G69" i="138" s="1"/>
  <c r="D72" i="139"/>
  <c r="D71" i="139" s="1"/>
  <c r="D70" i="139" s="1"/>
  <c r="D69" i="139" s="1"/>
  <c r="I269" i="121"/>
  <c r="G79" i="136"/>
  <c r="G78" i="136" s="1"/>
  <c r="G77" i="136" s="1"/>
  <c r="G76" i="136" s="1"/>
  <c r="I266" i="121"/>
  <c r="G75" i="136"/>
  <c r="G74" i="136" s="1"/>
  <c r="G73" i="136" s="1"/>
  <c r="G66" i="136" s="1"/>
  <c r="H304" i="121"/>
  <c r="G35" i="136" s="1"/>
  <c r="G34" i="136" s="1"/>
  <c r="G33" i="136" s="1"/>
  <c r="F35" i="136"/>
  <c r="F34" i="136" s="1"/>
  <c r="F33" i="136" s="1"/>
  <c r="H307" i="121"/>
  <c r="F39" i="136"/>
  <c r="F38" i="136" s="1"/>
  <c r="F37" i="136" s="1"/>
  <c r="F36" i="136" s="1"/>
  <c r="H272" i="121"/>
  <c r="G83" i="136" s="1"/>
  <c r="G82" i="136" s="1"/>
  <c r="G81" i="136" s="1"/>
  <c r="G80" i="136" s="1"/>
  <c r="F83" i="136"/>
  <c r="F82" i="136" s="1"/>
  <c r="F81" i="136" s="1"/>
  <c r="F80" i="136" s="1"/>
  <c r="H300" i="121"/>
  <c r="G29" i="136" s="1"/>
  <c r="G28" i="136" s="1"/>
  <c r="G27" i="136" s="1"/>
  <c r="F29" i="136"/>
  <c r="F28" i="136" s="1"/>
  <c r="F27" i="136" s="1"/>
  <c r="F43" i="136"/>
  <c r="F42" i="136"/>
  <c r="F41" i="136" s="1"/>
  <c r="F40" i="136" s="1"/>
  <c r="I333" i="121"/>
  <c r="G215" i="136"/>
  <c r="I272" i="121"/>
  <c r="G32" i="136"/>
  <c r="G31" i="136" s="1"/>
  <c r="G30" i="136" s="1"/>
  <c r="I247" i="121"/>
  <c r="G64" i="136"/>
  <c r="H123" i="121"/>
  <c r="I123" i="121"/>
  <c r="I82" i="121"/>
  <c r="H45" i="121"/>
  <c r="H326" i="121"/>
  <c r="I304" i="121" l="1"/>
  <c r="F25" i="138"/>
  <c r="F24" i="138" s="1"/>
  <c r="F23" i="138" s="1"/>
  <c r="F22" i="138" s="1"/>
  <c r="B25" i="139"/>
  <c r="B24" i="139" s="1"/>
  <c r="B23" i="139" s="1"/>
  <c r="B22" i="139" s="1"/>
  <c r="F58" i="138"/>
  <c r="F47" i="138" s="1"/>
  <c r="F46" i="138" s="1"/>
  <c r="D28" i="139"/>
  <c r="D27" i="139" s="1"/>
  <c r="D26" i="139" s="1"/>
  <c r="G28" i="138"/>
  <c r="G27" i="138" s="1"/>
  <c r="G26" i="138" s="1"/>
  <c r="H83" i="136"/>
  <c r="H82" i="136" s="1"/>
  <c r="H81" i="136" s="1"/>
  <c r="H80" i="136" s="1"/>
  <c r="H76" i="138"/>
  <c r="H75" i="138" s="1"/>
  <c r="H74" i="138" s="1"/>
  <c r="H73" i="138" s="1"/>
  <c r="F76" i="139"/>
  <c r="F75" i="139" s="1"/>
  <c r="F74" i="139" s="1"/>
  <c r="F73" i="139" s="1"/>
  <c r="I300" i="121"/>
  <c r="D59" i="139"/>
  <c r="B58" i="139"/>
  <c r="B47" i="139" s="1"/>
  <c r="B46" i="139" s="1"/>
  <c r="G76" i="138"/>
  <c r="G75" i="138" s="1"/>
  <c r="G74" i="138" s="1"/>
  <c r="G73" i="138" s="1"/>
  <c r="D76" i="139"/>
  <c r="D75" i="139" s="1"/>
  <c r="D74" i="139" s="1"/>
  <c r="D73" i="139" s="1"/>
  <c r="D56" i="139"/>
  <c r="D54" i="139"/>
  <c r="H79" i="136"/>
  <c r="H78" i="136" s="1"/>
  <c r="H77" i="136" s="1"/>
  <c r="H76" i="136" s="1"/>
  <c r="H72" i="138"/>
  <c r="H71" i="138" s="1"/>
  <c r="H70" i="138" s="1"/>
  <c r="H69" i="138" s="1"/>
  <c r="F72" i="139"/>
  <c r="F71" i="139" s="1"/>
  <c r="F70" i="139" s="1"/>
  <c r="F69" i="139" s="1"/>
  <c r="H215" i="136"/>
  <c r="H208" i="138"/>
  <c r="F208" i="139"/>
  <c r="G34" i="138"/>
  <c r="G33" i="138" s="1"/>
  <c r="G32" i="138" s="1"/>
  <c r="D34" i="139"/>
  <c r="D33" i="139" s="1"/>
  <c r="D32" i="139" s="1"/>
  <c r="G56" i="138"/>
  <c r="G54" i="138"/>
  <c r="H32" i="136"/>
  <c r="H31" i="136" s="1"/>
  <c r="H30" i="136" s="1"/>
  <c r="F31" i="139"/>
  <c r="F30" i="139" s="1"/>
  <c r="F29" i="139" s="1"/>
  <c r="H31" i="138"/>
  <c r="H30" i="138" s="1"/>
  <c r="H29" i="138" s="1"/>
  <c r="G59" i="138"/>
  <c r="H35" i="136"/>
  <c r="H34" i="136" s="1"/>
  <c r="H33" i="136" s="1"/>
  <c r="F34" i="139"/>
  <c r="F33" i="139" s="1"/>
  <c r="F32" i="139" s="1"/>
  <c r="H34" i="138"/>
  <c r="H33" i="138" s="1"/>
  <c r="H32" i="138" s="1"/>
  <c r="D202" i="139"/>
  <c r="D201" i="139" s="1"/>
  <c r="D200" i="139" s="1"/>
  <c r="D199" i="139" s="1"/>
  <c r="D198" i="139" s="1"/>
  <c r="D197" i="139" s="1"/>
  <c r="G202" i="138"/>
  <c r="G201" i="138" s="1"/>
  <c r="G200" i="138" s="1"/>
  <c r="G199" i="138" s="1"/>
  <c r="G198" i="138" s="1"/>
  <c r="G197" i="138" s="1"/>
  <c r="D245" i="139"/>
  <c r="D244" i="139" s="1"/>
  <c r="D243" i="139" s="1"/>
  <c r="D242" i="139" s="1"/>
  <c r="D241" i="139" s="1"/>
  <c r="D240" i="139" s="1"/>
  <c r="G245" i="138"/>
  <c r="G244" i="138" s="1"/>
  <c r="G243" i="138" s="1"/>
  <c r="G242" i="138" s="1"/>
  <c r="G241" i="138" s="1"/>
  <c r="G240" i="138" s="1"/>
  <c r="G39" i="136"/>
  <c r="G38" i="136" s="1"/>
  <c r="G37" i="136" s="1"/>
  <c r="G36" i="136" s="1"/>
  <c r="D38" i="139"/>
  <c r="D37" i="139" s="1"/>
  <c r="D36" i="139" s="1"/>
  <c r="D35" i="139" s="1"/>
  <c r="G38" i="138"/>
  <c r="G37" i="138" s="1"/>
  <c r="G36" i="138" s="1"/>
  <c r="G35" i="138" s="1"/>
  <c r="H64" i="136"/>
  <c r="H61" i="136" s="1"/>
  <c r="H57" i="138"/>
  <c r="F57" i="139"/>
  <c r="H75" i="136"/>
  <c r="H74" i="136" s="1"/>
  <c r="H73" i="136" s="1"/>
  <c r="H68" i="138"/>
  <c r="H67" i="138" s="1"/>
  <c r="H66" i="138" s="1"/>
  <c r="F68" i="139"/>
  <c r="F67" i="139" s="1"/>
  <c r="F66" i="139" s="1"/>
  <c r="F246" i="136"/>
  <c r="F245" i="136" s="1"/>
  <c r="F243" i="136" s="1"/>
  <c r="F211" i="136" s="1"/>
  <c r="F210" i="136" s="1"/>
  <c r="F203" i="136" s="1"/>
  <c r="F239" i="138"/>
  <c r="F238" i="138" s="1"/>
  <c r="B239" i="139"/>
  <c r="B238" i="139" s="1"/>
  <c r="G246" i="136"/>
  <c r="G245" i="136" s="1"/>
  <c r="G244" i="136" s="1"/>
  <c r="G239" i="138"/>
  <c r="G238" i="138" s="1"/>
  <c r="D239" i="139"/>
  <c r="D238" i="139" s="1"/>
  <c r="H246" i="136"/>
  <c r="H245" i="136" s="1"/>
  <c r="H243" i="136" s="1"/>
  <c r="H239" i="138"/>
  <c r="H238" i="138" s="1"/>
  <c r="F239" i="139"/>
  <c r="F238" i="139" s="1"/>
  <c r="G65" i="136"/>
  <c r="F65" i="136"/>
  <c r="F54" i="136" s="1"/>
  <c r="F53" i="136" s="1"/>
  <c r="I307" i="121"/>
  <c r="F26" i="136"/>
  <c r="F25" i="136" s="1"/>
  <c r="F24" i="136" s="1"/>
  <c r="F23" i="136" s="1"/>
  <c r="G26" i="136"/>
  <c r="I326" i="121"/>
  <c r="G209" i="136"/>
  <c r="G208" i="136" s="1"/>
  <c r="G207" i="136" s="1"/>
  <c r="G206" i="136" s="1"/>
  <c r="G205" i="136" s="1"/>
  <c r="G204" i="136" s="1"/>
  <c r="G61" i="136"/>
  <c r="G63" i="136"/>
  <c r="I45" i="121"/>
  <c r="G252" i="136"/>
  <c r="G251" i="136" s="1"/>
  <c r="G250" i="136" s="1"/>
  <c r="G249" i="136" s="1"/>
  <c r="G248" i="136" s="1"/>
  <c r="G247" i="136" s="1"/>
  <c r="I30" i="121"/>
  <c r="G216" i="136"/>
  <c r="G214" i="136" s="1"/>
  <c r="G213" i="136" s="1"/>
  <c r="G212" i="136" s="1"/>
  <c r="I262" i="121"/>
  <c r="H63" i="136" l="1"/>
  <c r="G243" i="136"/>
  <c r="F244" i="136"/>
  <c r="D55" i="139"/>
  <c r="D53" i="139"/>
  <c r="H69" i="136"/>
  <c r="H68" i="136" s="1"/>
  <c r="H67" i="136" s="1"/>
  <c r="H66" i="136" s="1"/>
  <c r="H65" i="136" s="1"/>
  <c r="H62" i="138"/>
  <c r="H61" i="138" s="1"/>
  <c r="H60" i="138" s="1"/>
  <c r="H59" i="138" s="1"/>
  <c r="H58" i="138" s="1"/>
  <c r="F62" i="139"/>
  <c r="F61" i="139" s="1"/>
  <c r="F60" i="139" s="1"/>
  <c r="F59" i="139" s="1"/>
  <c r="F58" i="139" s="1"/>
  <c r="G55" i="138"/>
  <c r="G53" i="138"/>
  <c r="G47" i="138" s="1"/>
  <c r="G46" i="138" s="1"/>
  <c r="D58" i="139"/>
  <c r="H216" i="136"/>
  <c r="H214" i="136" s="1"/>
  <c r="H213" i="136" s="1"/>
  <c r="H212" i="136" s="1"/>
  <c r="H211" i="136" s="1"/>
  <c r="H210" i="136" s="1"/>
  <c r="H203" i="136" s="1"/>
  <c r="F209" i="139"/>
  <c r="F207" i="139" s="1"/>
  <c r="F206" i="139" s="1"/>
  <c r="F205" i="139" s="1"/>
  <c r="H209" i="138"/>
  <c r="H207" i="138" s="1"/>
  <c r="H206" i="138" s="1"/>
  <c r="H205" i="138" s="1"/>
  <c r="G25" i="136"/>
  <c r="G24" i="136" s="1"/>
  <c r="G23" i="136" s="1"/>
  <c r="H29" i="136"/>
  <c r="H28" i="136" s="1"/>
  <c r="H27" i="136" s="1"/>
  <c r="H26" i="136" s="1"/>
  <c r="H28" i="138"/>
  <c r="H27" i="138" s="1"/>
  <c r="H26" i="138" s="1"/>
  <c r="H25" i="138" s="1"/>
  <c r="F28" i="139"/>
  <c r="F27" i="139" s="1"/>
  <c r="F26" i="139" s="1"/>
  <c r="F25" i="139" s="1"/>
  <c r="H252" i="136"/>
  <c r="H251" i="136" s="1"/>
  <c r="H250" i="136" s="1"/>
  <c r="H249" i="136" s="1"/>
  <c r="H248" i="136" s="1"/>
  <c r="H247" i="136" s="1"/>
  <c r="F245" i="139"/>
  <c r="F244" i="139" s="1"/>
  <c r="F243" i="139" s="1"/>
  <c r="F242" i="139" s="1"/>
  <c r="F241" i="139" s="1"/>
  <c r="F240" i="139" s="1"/>
  <c r="H245" i="138"/>
  <c r="H244" i="138" s="1"/>
  <c r="H243" i="138" s="1"/>
  <c r="H242" i="138" s="1"/>
  <c r="H241" i="138" s="1"/>
  <c r="H240" i="138" s="1"/>
  <c r="F54" i="139"/>
  <c r="F56" i="139"/>
  <c r="H209" i="136"/>
  <c r="H208" i="136" s="1"/>
  <c r="H207" i="136" s="1"/>
  <c r="H206" i="136" s="1"/>
  <c r="H205" i="136" s="1"/>
  <c r="H204" i="136" s="1"/>
  <c r="F202" i="139"/>
  <c r="F201" i="139" s="1"/>
  <c r="F200" i="139" s="1"/>
  <c r="F199" i="139" s="1"/>
  <c r="F198" i="139" s="1"/>
  <c r="F197" i="139" s="1"/>
  <c r="H202" i="138"/>
  <c r="H201" i="138" s="1"/>
  <c r="H200" i="138" s="1"/>
  <c r="H199" i="138" s="1"/>
  <c r="H198" i="138" s="1"/>
  <c r="H197" i="138" s="1"/>
  <c r="H54" i="138"/>
  <c r="H56" i="138"/>
  <c r="G58" i="138"/>
  <c r="G25" i="138"/>
  <c r="G24" i="138" s="1"/>
  <c r="G23" i="138" s="1"/>
  <c r="G22" i="138" s="1"/>
  <c r="H39" i="136"/>
  <c r="H38" i="136" s="1"/>
  <c r="H37" i="136" s="1"/>
  <c r="H36" i="136" s="1"/>
  <c r="H38" i="138"/>
  <c r="H37" i="138" s="1"/>
  <c r="H36" i="138" s="1"/>
  <c r="H35" i="138" s="1"/>
  <c r="F38" i="139"/>
  <c r="F37" i="139" s="1"/>
  <c r="F36" i="139" s="1"/>
  <c r="F35" i="139" s="1"/>
  <c r="D25" i="139"/>
  <c r="D24" i="139" s="1"/>
  <c r="D23" i="139" s="1"/>
  <c r="D22" i="139" s="1"/>
  <c r="H237" i="138"/>
  <c r="H236" i="138"/>
  <c r="F237" i="139"/>
  <c r="F236" i="139"/>
  <c r="H244" i="136"/>
  <c r="B236" i="139"/>
  <c r="B204" i="139" s="1"/>
  <c r="B203" i="139" s="1"/>
  <c r="B196" i="139" s="1"/>
  <c r="B237" i="139"/>
  <c r="D236" i="139"/>
  <c r="D204" i="139" s="1"/>
  <c r="D203" i="139" s="1"/>
  <c r="D196" i="139" s="1"/>
  <c r="D237" i="139"/>
  <c r="G237" i="138"/>
  <c r="G236" i="138"/>
  <c r="G204" i="138" s="1"/>
  <c r="G203" i="138" s="1"/>
  <c r="G196" i="138" s="1"/>
  <c r="F237" i="138"/>
  <c r="F236" i="138"/>
  <c r="F204" i="138" s="1"/>
  <c r="F203" i="138" s="1"/>
  <c r="F196" i="138" s="1"/>
  <c r="H62" i="136"/>
  <c r="H60" i="136"/>
  <c r="G62" i="136"/>
  <c r="G60" i="136"/>
  <c r="G54" i="136" s="1"/>
  <c r="G53" i="136" s="1"/>
  <c r="D22" i="127"/>
  <c r="E22" i="127"/>
  <c r="C22" i="127"/>
  <c r="G144" i="140" s="1"/>
  <c r="G143" i="140" s="1"/>
  <c r="G142" i="140" s="1"/>
  <c r="G132" i="140" s="1"/>
  <c r="G131" i="140" s="1"/>
  <c r="G130" i="140" s="1"/>
  <c r="G129" i="140" s="1"/>
  <c r="G127" i="140" s="1"/>
  <c r="D23" i="127"/>
  <c r="E23" i="127"/>
  <c r="C23" i="127"/>
  <c r="H54" i="136" l="1"/>
  <c r="H53" i="136" s="1"/>
  <c r="F55" i="139"/>
  <c r="F53" i="139"/>
  <c r="F47" i="139" s="1"/>
  <c r="F46" i="139" s="1"/>
  <c r="H204" i="138"/>
  <c r="H203" i="138" s="1"/>
  <c r="H196" i="138" s="1"/>
  <c r="F24" i="139"/>
  <c r="F23" i="139" s="1"/>
  <c r="F22" i="139" s="1"/>
  <c r="H24" i="138"/>
  <c r="H23" i="138" s="1"/>
  <c r="H22" i="138" s="1"/>
  <c r="F204" i="139"/>
  <c r="F203" i="139" s="1"/>
  <c r="F196" i="139" s="1"/>
  <c r="H25" i="136"/>
  <c r="H24" i="136" s="1"/>
  <c r="H23" i="136" s="1"/>
  <c r="D47" i="139"/>
  <c r="D46" i="139" s="1"/>
  <c r="H55" i="138"/>
  <c r="H53" i="138"/>
  <c r="H47" i="138" s="1"/>
  <c r="H46" i="138" s="1"/>
  <c r="G156" i="121"/>
  <c r="G155" i="121" s="1"/>
  <c r="G154" i="121" s="1"/>
  <c r="G153" i="121" s="1"/>
  <c r="G152" i="121" s="1"/>
  <c r="G153" i="140"/>
  <c r="G152" i="140" s="1"/>
  <c r="G151" i="140" s="1"/>
  <c r="G150" i="140" s="1"/>
  <c r="G149" i="140" s="1"/>
  <c r="G21" i="140"/>
  <c r="G20" i="140" s="1"/>
  <c r="H127" i="140" s="1"/>
  <c r="C24" i="127"/>
  <c r="I183" i="121"/>
  <c r="H183" i="121"/>
  <c r="D312" i="139" l="1"/>
  <c r="D311" i="139" s="1"/>
  <c r="G312" i="138"/>
  <c r="G311" i="138" s="1"/>
  <c r="G311" i="136"/>
  <c r="G310" i="136" s="1"/>
  <c r="G308" i="136" s="1"/>
  <c r="G304" i="138"/>
  <c r="G303" i="138" s="1"/>
  <c r="D304" i="139"/>
  <c r="D303" i="139" s="1"/>
  <c r="H311" i="136"/>
  <c r="H310" i="136" s="1"/>
  <c r="H309" i="136" s="1"/>
  <c r="H304" i="138"/>
  <c r="H303" i="138" s="1"/>
  <c r="F304" i="139"/>
  <c r="F303" i="139" s="1"/>
  <c r="F130" i="136"/>
  <c r="B108" i="139"/>
  <c r="B107" i="139" s="1"/>
  <c r="B106" i="139" s="1"/>
  <c r="B105" i="139" s="1"/>
  <c r="B96" i="139" s="1"/>
  <c r="B95" i="139" s="1"/>
  <c r="B94" i="139" s="1"/>
  <c r="F108" i="138"/>
  <c r="F107" i="138" s="1"/>
  <c r="F106" i="138" s="1"/>
  <c r="F105" i="138" s="1"/>
  <c r="F96" i="138" s="1"/>
  <c r="F95" i="138" s="1"/>
  <c r="F94" i="138" s="1"/>
  <c r="F21" i="138" s="1"/>
  <c r="H285" i="140"/>
  <c r="H170" i="140"/>
  <c r="H270" i="140"/>
  <c r="H75" i="140"/>
  <c r="H252" i="140"/>
  <c r="H237" i="140"/>
  <c r="H22" i="140"/>
  <c r="H85" i="140"/>
  <c r="B123" i="139"/>
  <c r="F123" i="138"/>
  <c r="F36" i="126"/>
  <c r="F115" i="136"/>
  <c r="F114" i="136" s="1"/>
  <c r="F113" i="136" s="1"/>
  <c r="F112" i="136" s="1"/>
  <c r="F103" i="136" s="1"/>
  <c r="F102" i="136" s="1"/>
  <c r="F101" i="136" s="1"/>
  <c r="G309" i="136"/>
  <c r="I285" i="121"/>
  <c r="G319" i="136"/>
  <c r="G318" i="136" s="1"/>
  <c r="G172" i="121"/>
  <c r="G35" i="125"/>
  <c r="G27" i="125"/>
  <c r="H33" i="121"/>
  <c r="I33" i="121"/>
  <c r="G69" i="121"/>
  <c r="H308" i="136" l="1"/>
  <c r="F301" i="139"/>
  <c r="F302" i="139"/>
  <c r="H302" i="138"/>
  <c r="H301" i="138"/>
  <c r="D301" i="139"/>
  <c r="D302" i="139"/>
  <c r="H319" i="136"/>
  <c r="H318" i="136" s="1"/>
  <c r="H317" i="136" s="1"/>
  <c r="F312" i="139"/>
  <c r="F311" i="139" s="1"/>
  <c r="H312" i="138"/>
  <c r="H311" i="138" s="1"/>
  <c r="G302" i="138"/>
  <c r="G301" i="138"/>
  <c r="G269" i="138" s="1"/>
  <c r="G268" i="138" s="1"/>
  <c r="G267" i="138" s="1"/>
  <c r="F257" i="138"/>
  <c r="F256" i="138" s="1"/>
  <c r="F253" i="138" s="1"/>
  <c r="F249" i="138" s="1"/>
  <c r="F248" i="138" s="1"/>
  <c r="F247" i="138" s="1"/>
  <c r="F246" i="138" s="1"/>
  <c r="B257" i="139"/>
  <c r="B256" i="139" s="1"/>
  <c r="B253" i="139" s="1"/>
  <c r="B249" i="139" s="1"/>
  <c r="B248" i="139" s="1"/>
  <c r="B247" i="139" s="1"/>
  <c r="B246" i="139" s="1"/>
  <c r="G310" i="138"/>
  <c r="G309" i="138"/>
  <c r="F303" i="136"/>
  <c r="F302" i="136" s="1"/>
  <c r="F301" i="136" s="1"/>
  <c r="F300" i="136" s="1"/>
  <c r="F276" i="136" s="1"/>
  <c r="F275" i="136" s="1"/>
  <c r="F274" i="136" s="1"/>
  <c r="G49" i="141"/>
  <c r="G48" i="141" s="1"/>
  <c r="B296" i="139"/>
  <c r="B295" i="139" s="1"/>
  <c r="B294" i="139" s="1"/>
  <c r="B293" i="139" s="1"/>
  <c r="B269" i="139" s="1"/>
  <c r="B268" i="139" s="1"/>
  <c r="B267" i="139" s="1"/>
  <c r="F296" i="138"/>
  <c r="F295" i="138" s="1"/>
  <c r="F294" i="138" s="1"/>
  <c r="F293" i="138" s="1"/>
  <c r="F269" i="138" s="1"/>
  <c r="F268" i="138" s="1"/>
  <c r="F267" i="138" s="1"/>
  <c r="D310" i="139"/>
  <c r="D309" i="139"/>
  <c r="B21" i="139"/>
  <c r="B313" i="139"/>
  <c r="H69" i="121"/>
  <c r="F264" i="136"/>
  <c r="F263" i="136" s="1"/>
  <c r="F260" i="136" s="1"/>
  <c r="F256" i="136" s="1"/>
  <c r="F255" i="136" s="1"/>
  <c r="F254" i="136" s="1"/>
  <c r="F253" i="136" s="1"/>
  <c r="F22" i="136"/>
  <c r="F320" i="136"/>
  <c r="I69" i="121"/>
  <c r="G264" i="136"/>
  <c r="G263" i="136" s="1"/>
  <c r="G260" i="136" s="1"/>
  <c r="G256" i="136" s="1"/>
  <c r="G255" i="136" s="1"/>
  <c r="G254" i="136" s="1"/>
  <c r="G253" i="136" s="1"/>
  <c r="G317" i="136"/>
  <c r="G316" i="136"/>
  <c r="G276" i="136" s="1"/>
  <c r="G275" i="136" s="1"/>
  <c r="G274" i="136" s="1"/>
  <c r="H316" i="136"/>
  <c r="H276" i="136"/>
  <c r="H275" i="136" s="1"/>
  <c r="H274" i="136" s="1"/>
  <c r="H67" i="121"/>
  <c r="F195" i="138" l="1"/>
  <c r="F314" i="138" s="1"/>
  <c r="H310" i="138"/>
  <c r="H309" i="138"/>
  <c r="G44" i="141"/>
  <c r="G43" i="141" s="1"/>
  <c r="G50" i="141" s="1"/>
  <c r="G47" i="141"/>
  <c r="G46" i="141" s="1"/>
  <c r="G45" i="141" s="1"/>
  <c r="D269" i="139"/>
  <c r="D268" i="139" s="1"/>
  <c r="D267" i="139" s="1"/>
  <c r="H269" i="138"/>
  <c r="H268" i="138" s="1"/>
  <c r="H267" i="138" s="1"/>
  <c r="F309" i="139"/>
  <c r="F269" i="139" s="1"/>
  <c r="F268" i="139" s="1"/>
  <c r="F267" i="139" s="1"/>
  <c r="F310" i="139"/>
  <c r="H264" i="136"/>
  <c r="H263" i="136" s="1"/>
  <c r="H260" i="136" s="1"/>
  <c r="H256" i="136" s="1"/>
  <c r="H255" i="136" s="1"/>
  <c r="H254" i="136" s="1"/>
  <c r="H253" i="136" s="1"/>
  <c r="H202" i="136" s="1"/>
  <c r="F257" i="139"/>
  <c r="F256" i="139" s="1"/>
  <c r="F253" i="139" s="1"/>
  <c r="F249" i="139" s="1"/>
  <c r="F248" i="139" s="1"/>
  <c r="F247" i="139" s="1"/>
  <c r="F246" i="139" s="1"/>
  <c r="H257" i="138"/>
  <c r="H256" i="138" s="1"/>
  <c r="H253" i="138" s="1"/>
  <c r="H249" i="138" s="1"/>
  <c r="H248" i="138" s="1"/>
  <c r="H247" i="138" s="1"/>
  <c r="H246" i="138" s="1"/>
  <c r="F202" i="136"/>
  <c r="F21" i="136" s="1"/>
  <c r="D257" i="139"/>
  <c r="D256" i="139" s="1"/>
  <c r="D253" i="139" s="1"/>
  <c r="D249" i="139" s="1"/>
  <c r="D248" i="139" s="1"/>
  <c r="D247" i="139" s="1"/>
  <c r="D246" i="139" s="1"/>
  <c r="G257" i="138"/>
  <c r="G256" i="138" s="1"/>
  <c r="G253" i="138" s="1"/>
  <c r="G249" i="138" s="1"/>
  <c r="G248" i="138" s="1"/>
  <c r="G247" i="138" s="1"/>
  <c r="G246" i="138" s="1"/>
  <c r="G195" i="138" s="1"/>
  <c r="B195" i="139"/>
  <c r="B20" i="139" s="1"/>
  <c r="C154" i="139"/>
  <c r="C77" i="139"/>
  <c r="C161" i="139"/>
  <c r="C46" i="139"/>
  <c r="C174" i="139"/>
  <c r="C147" i="139"/>
  <c r="C181" i="139"/>
  <c r="C131" i="139"/>
  <c r="C22" i="139"/>
  <c r="C124" i="139"/>
  <c r="C188" i="139"/>
  <c r="C39" i="139"/>
  <c r="C94" i="139"/>
  <c r="F318" i="138"/>
  <c r="F319" i="138"/>
  <c r="H229" i="131"/>
  <c r="I67" i="121"/>
  <c r="G284" i="131"/>
  <c r="G283" i="131" s="1"/>
  <c r="H284" i="131"/>
  <c r="H283" i="131" s="1"/>
  <c r="F284" i="131"/>
  <c r="F283" i="131" s="1"/>
  <c r="F20" i="138" l="1"/>
  <c r="F195" i="139"/>
  <c r="D195" i="139"/>
  <c r="H195" i="138"/>
  <c r="F272" i="131"/>
  <c r="F271" i="131" s="1"/>
  <c r="F270" i="131" s="1"/>
  <c r="F269" i="131" s="1"/>
  <c r="F268" i="131" s="1"/>
  <c r="F267" i="131" s="1"/>
  <c r="F236" i="131"/>
  <c r="G42" i="125"/>
  <c r="G29" i="125"/>
  <c r="G335" i="131"/>
  <c r="G334" i="131" s="1"/>
  <c r="G332" i="131" s="1"/>
  <c r="H335" i="131"/>
  <c r="H334" i="131" s="1"/>
  <c r="H332" i="131" s="1"/>
  <c r="F335" i="131"/>
  <c r="F334" i="131" s="1"/>
  <c r="F332" i="131" s="1"/>
  <c r="G331" i="131"/>
  <c r="G330" i="131" s="1"/>
  <c r="H331" i="131"/>
  <c r="H330" i="131" s="1"/>
  <c r="F331" i="131"/>
  <c r="F330" i="131" s="1"/>
  <c r="G327" i="131"/>
  <c r="G326" i="131" s="1"/>
  <c r="H327" i="131"/>
  <c r="H326" i="131" s="1"/>
  <c r="H325" i="131" s="1"/>
  <c r="F327" i="131"/>
  <c r="F326" i="131" s="1"/>
  <c r="G323" i="131"/>
  <c r="G322" i="131" s="1"/>
  <c r="G321" i="131" s="1"/>
  <c r="G320" i="131" s="1"/>
  <c r="H323" i="131"/>
  <c r="H322" i="131" s="1"/>
  <c r="H321" i="131" s="1"/>
  <c r="H320" i="131" s="1"/>
  <c r="G319" i="131"/>
  <c r="G318" i="131" s="1"/>
  <c r="G317" i="131" s="1"/>
  <c r="G316" i="131" s="1"/>
  <c r="H319" i="131"/>
  <c r="H318" i="131" s="1"/>
  <c r="H317" i="131" s="1"/>
  <c r="H316" i="131" s="1"/>
  <c r="F319" i="131"/>
  <c r="F318" i="131" s="1"/>
  <c r="F317" i="131" s="1"/>
  <c r="F316" i="131" s="1"/>
  <c r="G315" i="131"/>
  <c r="G314" i="131" s="1"/>
  <c r="G313" i="131" s="1"/>
  <c r="H315" i="131"/>
  <c r="H314" i="131" s="1"/>
  <c r="H313" i="131" s="1"/>
  <c r="F315" i="131"/>
  <c r="F314" i="131" s="1"/>
  <c r="F313" i="131" s="1"/>
  <c r="G312" i="131"/>
  <c r="G311" i="131" s="1"/>
  <c r="G310" i="131" s="1"/>
  <c r="H312" i="131"/>
  <c r="H311" i="131" s="1"/>
  <c r="H310" i="131" s="1"/>
  <c r="F312" i="131"/>
  <c r="F311" i="131" s="1"/>
  <c r="F310" i="131" s="1"/>
  <c r="G308" i="131"/>
  <c r="G307" i="131" s="1"/>
  <c r="G306" i="131" s="1"/>
  <c r="G305" i="131" s="1"/>
  <c r="H308" i="131"/>
  <c r="H307" i="131" s="1"/>
  <c r="H306" i="131" s="1"/>
  <c r="H305" i="131" s="1"/>
  <c r="F308" i="131"/>
  <c r="F307" i="131" s="1"/>
  <c r="F306" i="131" s="1"/>
  <c r="F305" i="131" s="1"/>
  <c r="G304" i="131"/>
  <c r="G303" i="131" s="1"/>
  <c r="G302" i="131" s="1"/>
  <c r="H304" i="131"/>
  <c r="H303" i="131" s="1"/>
  <c r="H301" i="131" s="1"/>
  <c r="F304" i="131"/>
  <c r="F303" i="131" s="1"/>
  <c r="F302" i="131" s="1"/>
  <c r="G300" i="131"/>
  <c r="G299" i="131" s="1"/>
  <c r="G298" i="131" s="1"/>
  <c r="G297" i="131" s="1"/>
  <c r="H300" i="131"/>
  <c r="H299" i="131" s="1"/>
  <c r="H298" i="131" s="1"/>
  <c r="H297" i="131" s="1"/>
  <c r="F300" i="131"/>
  <c r="F299" i="131" s="1"/>
  <c r="F298" i="131" s="1"/>
  <c r="F297" i="131" s="1"/>
  <c r="G293" i="131"/>
  <c r="G292" i="131" s="1"/>
  <c r="G291" i="131" s="1"/>
  <c r="G290" i="131" s="1"/>
  <c r="H293" i="131"/>
  <c r="H292" i="131" s="1"/>
  <c r="H291" i="131" s="1"/>
  <c r="H290" i="131" s="1"/>
  <c r="G289" i="131"/>
  <c r="G288" i="131" s="1"/>
  <c r="H289" i="131"/>
  <c r="H288" i="131" s="1"/>
  <c r="G287" i="131"/>
  <c r="G286" i="131" s="1"/>
  <c r="H287" i="131"/>
  <c r="H286" i="131" s="1"/>
  <c r="G282" i="131"/>
  <c r="G281" i="131" s="1"/>
  <c r="G280" i="131" s="1"/>
  <c r="H282" i="131"/>
  <c r="H281" i="131" s="1"/>
  <c r="H280" i="131" s="1"/>
  <c r="G279" i="131"/>
  <c r="G278" i="131" s="1"/>
  <c r="G277" i="131" s="1"/>
  <c r="H279" i="131"/>
  <c r="H278" i="131" s="1"/>
  <c r="H277" i="131" s="1"/>
  <c r="G266" i="131"/>
  <c r="G265" i="131" s="1"/>
  <c r="G264" i="131" s="1"/>
  <c r="H266" i="131"/>
  <c r="H265" i="131" s="1"/>
  <c r="H264" i="131" s="1"/>
  <c r="H259" i="131"/>
  <c r="H258" i="131" s="1"/>
  <c r="H257" i="131" s="1"/>
  <c r="G262" i="131"/>
  <c r="G261" i="131" s="1"/>
  <c r="G260" i="131" s="1"/>
  <c r="H262" i="131"/>
  <c r="H261" i="131" s="1"/>
  <c r="H260" i="131" s="1"/>
  <c r="F262" i="131"/>
  <c r="F261" i="131" s="1"/>
  <c r="F260" i="131" s="1"/>
  <c r="F259" i="131"/>
  <c r="F258" i="131" s="1"/>
  <c r="F257" i="131" s="1"/>
  <c r="G255" i="131"/>
  <c r="G254" i="131" s="1"/>
  <c r="G253" i="131" s="1"/>
  <c r="H255" i="131"/>
  <c r="H254" i="131" s="1"/>
  <c r="H253" i="131" s="1"/>
  <c r="G251" i="131"/>
  <c r="G250" i="131" s="1"/>
  <c r="G248" i="131" s="1"/>
  <c r="H251" i="131"/>
  <c r="H250" i="131" s="1"/>
  <c r="H248" i="131" s="1"/>
  <c r="F251" i="131"/>
  <c r="F250" i="131" s="1"/>
  <c r="F248" i="131" s="1"/>
  <c r="G247" i="131"/>
  <c r="G246" i="131" s="1"/>
  <c r="G245" i="131" s="1"/>
  <c r="H247" i="131"/>
  <c r="H246" i="131" s="1"/>
  <c r="H245" i="131" s="1"/>
  <c r="F247" i="131"/>
  <c r="F246" i="131" s="1"/>
  <c r="F245" i="131" s="1"/>
  <c r="G243" i="131"/>
  <c r="G242" i="131" s="1"/>
  <c r="G241" i="131" s="1"/>
  <c r="H243" i="131"/>
  <c r="H242" i="131" s="1"/>
  <c r="H241" i="131" s="1"/>
  <c r="G239" i="131"/>
  <c r="H239" i="131"/>
  <c r="G240" i="131"/>
  <c r="H240" i="131"/>
  <c r="G235" i="131"/>
  <c r="H235" i="131"/>
  <c r="G229" i="131"/>
  <c r="G228" i="131" s="1"/>
  <c r="G227" i="131" s="1"/>
  <c r="G226" i="131" s="1"/>
  <c r="H228" i="131"/>
  <c r="H227" i="131" s="1"/>
  <c r="H226" i="131" s="1"/>
  <c r="F229" i="131"/>
  <c r="F228" i="131" s="1"/>
  <c r="F227" i="131" s="1"/>
  <c r="F226" i="131" s="1"/>
  <c r="G221" i="131"/>
  <c r="G220" i="131" s="1"/>
  <c r="G219" i="131" s="1"/>
  <c r="H221" i="131"/>
  <c r="H220" i="131" s="1"/>
  <c r="H219" i="131" s="1"/>
  <c r="F221" i="131"/>
  <c r="F220" i="131" s="1"/>
  <c r="F219" i="131" s="1"/>
  <c r="F218" i="131" s="1"/>
  <c r="F217" i="131" s="1"/>
  <c r="G217" i="131"/>
  <c r="G216" i="131" s="1"/>
  <c r="G215" i="131" s="1"/>
  <c r="H217" i="131"/>
  <c r="H216" i="131" s="1"/>
  <c r="H215" i="131" s="1"/>
  <c r="G214" i="131"/>
  <c r="G213" i="131" s="1"/>
  <c r="G212" i="131" s="1"/>
  <c r="H214" i="131"/>
  <c r="H213" i="131" s="1"/>
  <c r="H212" i="131" s="1"/>
  <c r="F214" i="131"/>
  <c r="F213" i="131" s="1"/>
  <c r="F212" i="131" s="1"/>
  <c r="G207" i="131"/>
  <c r="G206" i="131" s="1"/>
  <c r="G205" i="131" s="1"/>
  <c r="H207" i="131"/>
  <c r="H206" i="131" s="1"/>
  <c r="H205" i="131" s="1"/>
  <c r="F200" i="131"/>
  <c r="F199" i="131" s="1"/>
  <c r="F198" i="131" s="1"/>
  <c r="F197" i="131" s="1"/>
  <c r="G194" i="131"/>
  <c r="G193" i="131" s="1"/>
  <c r="G192" i="131" s="1"/>
  <c r="G191" i="131" s="1"/>
  <c r="G190" i="131" s="1"/>
  <c r="G189" i="131" s="1"/>
  <c r="H194" i="131"/>
  <c r="H193" i="131" s="1"/>
  <c r="H192" i="131" s="1"/>
  <c r="H191" i="131" s="1"/>
  <c r="H190" i="131" s="1"/>
  <c r="H189" i="131" s="1"/>
  <c r="G187" i="131"/>
  <c r="G186" i="131" s="1"/>
  <c r="G185" i="131" s="1"/>
  <c r="H187" i="131"/>
  <c r="H186" i="131" s="1"/>
  <c r="H185" i="131" s="1"/>
  <c r="H184" i="131" s="1"/>
  <c r="G180" i="131"/>
  <c r="G179" i="131" s="1"/>
  <c r="G178" i="131" s="1"/>
  <c r="G177" i="131" s="1"/>
  <c r="H180" i="131"/>
  <c r="H179" i="131" s="1"/>
  <c r="H178" i="131" s="1"/>
  <c r="H177" i="131" s="1"/>
  <c r="F180" i="131"/>
  <c r="F179" i="131" s="1"/>
  <c r="F178" i="131" s="1"/>
  <c r="F177" i="131" s="1"/>
  <c r="G173" i="131"/>
  <c r="G172" i="131" s="1"/>
  <c r="G170" i="131" s="1"/>
  <c r="G169" i="131" s="1"/>
  <c r="H173" i="131"/>
  <c r="H172" i="131" s="1"/>
  <c r="H170" i="131" s="1"/>
  <c r="H169" i="131" s="1"/>
  <c r="F173" i="131"/>
  <c r="F172" i="131" s="1"/>
  <c r="F171" i="131" s="1"/>
  <c r="G168" i="131"/>
  <c r="G167" i="131" s="1"/>
  <c r="G166" i="131" s="1"/>
  <c r="G165" i="131" s="1"/>
  <c r="H168" i="131"/>
  <c r="H167" i="131" s="1"/>
  <c r="H166" i="131" s="1"/>
  <c r="H165" i="131" s="1"/>
  <c r="F168" i="131"/>
  <c r="F167" i="131" s="1"/>
  <c r="F166" i="131" s="1"/>
  <c r="F165" i="131" s="1"/>
  <c r="H164" i="131"/>
  <c r="H163" i="131" s="1"/>
  <c r="H162" i="131" s="1"/>
  <c r="H161" i="131" s="1"/>
  <c r="G157" i="131"/>
  <c r="G156" i="131" s="1"/>
  <c r="G155" i="131" s="1"/>
  <c r="H157" i="131"/>
  <c r="H156" i="131" s="1"/>
  <c r="H155" i="131" s="1"/>
  <c r="G144" i="131"/>
  <c r="G143" i="131" s="1"/>
  <c r="G141" i="131" s="1"/>
  <c r="G142" i="131" s="1"/>
  <c r="H144" i="131"/>
  <c r="H143" i="131" s="1"/>
  <c r="H141" i="131" s="1"/>
  <c r="F144" i="131"/>
  <c r="F143" i="131" s="1"/>
  <c r="F141" i="131" s="1"/>
  <c r="F142" i="131" s="1"/>
  <c r="G139" i="131"/>
  <c r="G138" i="131" s="1"/>
  <c r="G137" i="131" s="1"/>
  <c r="G136" i="131" s="1"/>
  <c r="H139" i="131"/>
  <c r="H138" i="131" s="1"/>
  <c r="H137" i="131" s="1"/>
  <c r="H136" i="131" s="1"/>
  <c r="G131" i="131"/>
  <c r="G130" i="131" s="1"/>
  <c r="G129" i="131" s="1"/>
  <c r="G128" i="131" s="1"/>
  <c r="H131" i="131"/>
  <c r="H130" i="131" s="1"/>
  <c r="H129" i="131" s="1"/>
  <c r="H128" i="131" s="1"/>
  <c r="G120" i="131"/>
  <c r="G119" i="131" s="1"/>
  <c r="G118" i="131" s="1"/>
  <c r="G117" i="131" s="1"/>
  <c r="G116" i="131" s="1"/>
  <c r="H120" i="131"/>
  <c r="H119" i="131" s="1"/>
  <c r="H118" i="131" s="1"/>
  <c r="H117" i="131" s="1"/>
  <c r="H116" i="131" s="1"/>
  <c r="F120" i="131"/>
  <c r="F119" i="131" s="1"/>
  <c r="F118" i="131" s="1"/>
  <c r="F117" i="131" s="1"/>
  <c r="F116" i="131" s="1"/>
  <c r="G112" i="131"/>
  <c r="G111" i="131" s="1"/>
  <c r="G110" i="131" s="1"/>
  <c r="H112" i="131"/>
  <c r="H111" i="131" s="1"/>
  <c r="H110" i="131" s="1"/>
  <c r="G107" i="131"/>
  <c r="G106" i="131" s="1"/>
  <c r="H107" i="131"/>
  <c r="H106" i="131" s="1"/>
  <c r="H104" i="131" s="1"/>
  <c r="H103" i="131" s="1"/>
  <c r="G94" i="131"/>
  <c r="G93" i="131" s="1"/>
  <c r="G92" i="131" s="1"/>
  <c r="G91" i="131" s="1"/>
  <c r="H94" i="131"/>
  <c r="H93" i="131" s="1"/>
  <c r="H92" i="131" s="1"/>
  <c r="H91" i="131" s="1"/>
  <c r="G90" i="131"/>
  <c r="G89" i="131" s="1"/>
  <c r="G88" i="131" s="1"/>
  <c r="G87" i="131" s="1"/>
  <c r="H90" i="131"/>
  <c r="H89" i="131" s="1"/>
  <c r="H88" i="131" s="1"/>
  <c r="H87" i="131" s="1"/>
  <c r="G86" i="131"/>
  <c r="G85" i="131" s="1"/>
  <c r="G84" i="131" s="1"/>
  <c r="H86" i="131"/>
  <c r="H85" i="131" s="1"/>
  <c r="H84" i="131" s="1"/>
  <c r="F86" i="131"/>
  <c r="F85" i="131" s="1"/>
  <c r="F84" i="131" s="1"/>
  <c r="G83" i="131"/>
  <c r="G82" i="131" s="1"/>
  <c r="G81" i="131" s="1"/>
  <c r="H83" i="131"/>
  <c r="H82" i="131" s="1"/>
  <c r="H81" i="131" s="1"/>
  <c r="F80" i="131"/>
  <c r="F79" i="131" s="1"/>
  <c r="F78" i="131" s="1"/>
  <c r="H75" i="131"/>
  <c r="H72" i="131" s="1"/>
  <c r="G75" i="131"/>
  <c r="G74" i="131" s="1"/>
  <c r="G71" i="131" s="1"/>
  <c r="F75" i="131"/>
  <c r="F74" i="131" s="1"/>
  <c r="F71" i="131" s="1"/>
  <c r="G70" i="131"/>
  <c r="G69" i="131" s="1"/>
  <c r="G68" i="131" s="1"/>
  <c r="G67" i="131" s="1"/>
  <c r="G66" i="131" s="1"/>
  <c r="H70" i="131"/>
  <c r="H69" i="131" s="1"/>
  <c r="H68" i="131" s="1"/>
  <c r="H67" i="131" s="1"/>
  <c r="H66" i="131" s="1"/>
  <c r="G63" i="131"/>
  <c r="H63" i="131"/>
  <c r="G39" i="131"/>
  <c r="G38" i="131" s="1"/>
  <c r="G37" i="131" s="1"/>
  <c r="H39" i="131"/>
  <c r="H38" i="131" s="1"/>
  <c r="H37" i="131" s="1"/>
  <c r="G46" i="131"/>
  <c r="G45" i="131" s="1"/>
  <c r="G44" i="131" s="1"/>
  <c r="G43" i="131" s="1"/>
  <c r="H46" i="131"/>
  <c r="H45" i="131" s="1"/>
  <c r="H44" i="131" s="1"/>
  <c r="H43" i="131" s="1"/>
  <c r="F46" i="131"/>
  <c r="F45" i="131" s="1"/>
  <c r="F44" i="131" s="1"/>
  <c r="F43" i="131" s="1"/>
  <c r="F9" i="131"/>
  <c r="F10" i="131"/>
  <c r="F11" i="131"/>
  <c r="F12" i="131"/>
  <c r="F13" i="131"/>
  <c r="F16" i="131"/>
  <c r="F17" i="131"/>
  <c r="F18" i="131"/>
  <c r="F19" i="131"/>
  <c r="F20" i="131"/>
  <c r="F148" i="131"/>
  <c r="F147" i="131" s="1"/>
  <c r="F94" i="131"/>
  <c r="F93" i="131" s="1"/>
  <c r="F92" i="131" s="1"/>
  <c r="F91" i="131" s="1"/>
  <c r="F83" i="131"/>
  <c r="F82" i="131" s="1"/>
  <c r="F81" i="131" s="1"/>
  <c r="F90" i="131"/>
  <c r="F89" i="131" s="1"/>
  <c r="F88" i="131" s="1"/>
  <c r="F87" i="131" s="1"/>
  <c r="H60" i="131" l="1"/>
  <c r="H59" i="131" s="1"/>
  <c r="H58" i="131" s="1"/>
  <c r="H57" i="131" s="1"/>
  <c r="G62" i="131"/>
  <c r="G61" i="131" s="1"/>
  <c r="H109" i="131"/>
  <c r="H108" i="131" s="1"/>
  <c r="H102" i="131" s="1"/>
  <c r="H101" i="131" s="1"/>
  <c r="G109" i="131"/>
  <c r="G108" i="131" s="1"/>
  <c r="F243" i="131"/>
  <c r="F242" i="131" s="1"/>
  <c r="F241" i="131" s="1"/>
  <c r="G33" i="121"/>
  <c r="H160" i="131"/>
  <c r="H159" i="131" s="1"/>
  <c r="H158" i="131" s="1"/>
  <c r="H309" i="131"/>
  <c r="F309" i="131"/>
  <c r="G309" i="131"/>
  <c r="G263" i="131"/>
  <c r="H238" i="131"/>
  <c r="H237" i="131" s="1"/>
  <c r="H263" i="131"/>
  <c r="G238" i="131"/>
  <c r="G237" i="131" s="1"/>
  <c r="F72" i="131"/>
  <c r="H74" i="131"/>
  <c r="H73" i="131" s="1"/>
  <c r="G72" i="131"/>
  <c r="G333" i="131"/>
  <c r="G154" i="131"/>
  <c r="G153" i="131" s="1"/>
  <c r="G152" i="131" s="1"/>
  <c r="G151" i="131" s="1"/>
  <c r="H62" i="131"/>
  <c r="H61" i="131" s="1"/>
  <c r="H333" i="131"/>
  <c r="H154" i="131"/>
  <c r="H153" i="131" s="1"/>
  <c r="H152" i="131" s="1"/>
  <c r="H151" i="131" s="1"/>
  <c r="G171" i="131"/>
  <c r="H302" i="131"/>
  <c r="F256" i="131"/>
  <c r="H171" i="131"/>
  <c r="G184" i="131"/>
  <c r="G183" i="131"/>
  <c r="G182" i="131" s="1"/>
  <c r="G181" i="131" s="1"/>
  <c r="H285" i="131"/>
  <c r="H276" i="131" s="1"/>
  <c r="H183" i="131"/>
  <c r="H182" i="131" s="1"/>
  <c r="H181" i="131" s="1"/>
  <c r="F244" i="131"/>
  <c r="F216" i="131"/>
  <c r="F215" i="131" s="1"/>
  <c r="G244" i="131"/>
  <c r="F301" i="131"/>
  <c r="H244" i="131"/>
  <c r="G301" i="131"/>
  <c r="F333" i="131"/>
  <c r="G104" i="131"/>
  <c r="G103" i="131" s="1"/>
  <c r="G105" i="131"/>
  <c r="F210" i="131"/>
  <c r="F209" i="131" s="1"/>
  <c r="F208" i="131" s="1"/>
  <c r="F211" i="131"/>
  <c r="F328" i="131"/>
  <c r="F329" i="131"/>
  <c r="G328" i="131"/>
  <c r="G329" i="131"/>
  <c r="F170" i="131"/>
  <c r="F169" i="131" s="1"/>
  <c r="F225" i="131"/>
  <c r="F224" i="131" s="1"/>
  <c r="G225" i="131"/>
  <c r="G224" i="131" s="1"/>
  <c r="G285" i="131"/>
  <c r="G276" i="131" s="1"/>
  <c r="F249" i="131"/>
  <c r="H249" i="131"/>
  <c r="H256" i="131"/>
  <c r="G211" i="131"/>
  <c r="G210" i="131"/>
  <c r="G209" i="131" s="1"/>
  <c r="G208" i="131" s="1"/>
  <c r="G325" i="131"/>
  <c r="G324" i="131"/>
  <c r="F77" i="131"/>
  <c r="F76" i="131" s="1"/>
  <c r="H176" i="131"/>
  <c r="H175" i="131"/>
  <c r="H174" i="131" s="1"/>
  <c r="F176" i="131"/>
  <c r="F175" i="131"/>
  <c r="F174" i="131" s="1"/>
  <c r="H225" i="131"/>
  <c r="H224" i="131" s="1"/>
  <c r="G176" i="131"/>
  <c r="G175" i="131"/>
  <c r="G174" i="131" s="1"/>
  <c r="F196" i="131"/>
  <c r="F195" i="131"/>
  <c r="G204" i="131"/>
  <c r="G203" i="131"/>
  <c r="G202" i="131" s="1"/>
  <c r="G201" i="131" s="1"/>
  <c r="H211" i="131"/>
  <c r="H210" i="131"/>
  <c r="H209" i="131" s="1"/>
  <c r="H208" i="131" s="1"/>
  <c r="H142" i="131"/>
  <c r="H140" i="131"/>
  <c r="H203" i="131"/>
  <c r="H202" i="131" s="1"/>
  <c r="H201" i="131" s="1"/>
  <c r="H204" i="131"/>
  <c r="H329" i="131"/>
  <c r="H328" i="131"/>
  <c r="F325" i="131"/>
  <c r="F324" i="131"/>
  <c r="F73" i="131"/>
  <c r="H105" i="131"/>
  <c r="F140" i="131"/>
  <c r="G249" i="131"/>
  <c r="G73" i="131"/>
  <c r="G140" i="131"/>
  <c r="F146" i="131"/>
  <c r="F145" i="131" s="1"/>
  <c r="H324" i="131"/>
  <c r="G252" i="131"/>
  <c r="H252" i="131"/>
  <c r="G60" i="131"/>
  <c r="G59" i="131" s="1"/>
  <c r="G58" i="131" s="1"/>
  <c r="G57" i="131" s="1"/>
  <c r="D13" i="130"/>
  <c r="D20" i="130"/>
  <c r="F187" i="131"/>
  <c r="F186" i="131" s="1"/>
  <c r="F185" i="131" s="1"/>
  <c r="F183" i="131" s="1"/>
  <c r="F182" i="131" s="1"/>
  <c r="F181" i="131" s="1"/>
  <c r="G102" i="131" l="1"/>
  <c r="G101" i="131" s="1"/>
  <c r="F184" i="131"/>
  <c r="G275" i="131"/>
  <c r="G274" i="131" s="1"/>
  <c r="G273" i="131" s="1"/>
  <c r="H71" i="131"/>
  <c r="H275" i="131"/>
  <c r="H274" i="131" s="1"/>
  <c r="H273" i="131" s="1"/>
  <c r="G67" i="121"/>
  <c r="F139" i="131"/>
  <c r="F138" i="131" s="1"/>
  <c r="F137" i="131" s="1"/>
  <c r="F136" i="131" s="1"/>
  <c r="F164" i="131"/>
  <c r="F163" i="131" s="1"/>
  <c r="F162" i="131" s="1"/>
  <c r="F161" i="131" s="1"/>
  <c r="F160" i="131" s="1"/>
  <c r="F159" i="131" s="1"/>
  <c r="F158" i="131" s="1"/>
  <c r="F279" i="131"/>
  <c r="F278" i="131" s="1"/>
  <c r="F277" i="131" s="1"/>
  <c r="C72" i="130"/>
  <c r="D68" i="130"/>
  <c r="E68" i="130"/>
  <c r="E44" i="130"/>
  <c r="D44" i="130"/>
  <c r="C76" i="130"/>
  <c r="C75" i="130" s="1"/>
  <c r="C74" i="130" s="1"/>
  <c r="E74" i="130"/>
  <c r="D74" i="130"/>
  <c r="D72" i="130"/>
  <c r="E72" i="130"/>
  <c r="F282" i="131" l="1"/>
  <c r="F281" i="131" s="1"/>
  <c r="F280" i="131" s="1"/>
  <c r="E75" i="130"/>
  <c r="D75" i="130"/>
  <c r="C29" i="133"/>
  <c r="C22" i="133" s="1"/>
  <c r="D22" i="133" s="1"/>
  <c r="B29" i="133"/>
  <c r="E50" i="130"/>
  <c r="D50" i="130"/>
  <c r="C50" i="130"/>
  <c r="E42" i="130"/>
  <c r="E41" i="130" s="1"/>
  <c r="D42" i="130"/>
  <c r="D41" i="130" s="1"/>
  <c r="E36" i="130"/>
  <c r="D36" i="130"/>
  <c r="E33" i="130"/>
  <c r="D33" i="130"/>
  <c r="C4" i="132"/>
  <c r="E31" i="130"/>
  <c r="D31" i="130"/>
  <c r="E29" i="130"/>
  <c r="D29" i="130"/>
  <c r="C29" i="130"/>
  <c r="F194" i="131"/>
  <c r="F193" i="131" s="1"/>
  <c r="F192" i="131" s="1"/>
  <c r="F191" i="131" s="1"/>
  <c r="F190" i="131" s="1"/>
  <c r="F189" i="131" s="1"/>
  <c r="F188" i="131" s="1"/>
  <c r="C44" i="133" l="1"/>
  <c r="B44" i="133"/>
  <c r="B42" i="133"/>
  <c r="D28" i="130"/>
  <c r="C3" i="132"/>
  <c r="A42" i="133"/>
  <c r="C28" i="130"/>
  <c r="C5" i="132"/>
  <c r="C49" i="130"/>
  <c r="C48" i="130" s="1"/>
  <c r="C78" i="130" s="1"/>
  <c r="C42" i="133"/>
  <c r="E28" i="130"/>
  <c r="E49" i="130"/>
  <c r="D49" i="130"/>
  <c r="D48" i="130" s="1"/>
  <c r="G127" i="131"/>
  <c r="G126" i="131" s="1"/>
  <c r="H197" i="121"/>
  <c r="G137" i="138" l="1"/>
  <c r="G136" i="138" s="1"/>
  <c r="G135" i="138" s="1"/>
  <c r="G134" i="138" s="1"/>
  <c r="G133" i="138" s="1"/>
  <c r="G132" i="138" s="1"/>
  <c r="G131" i="138" s="1"/>
  <c r="G21" i="138" s="1"/>
  <c r="D137" i="139"/>
  <c r="D136" i="139" s="1"/>
  <c r="D135" i="139" s="1"/>
  <c r="D134" i="139" s="1"/>
  <c r="D133" i="139" s="1"/>
  <c r="D132" i="139" s="1"/>
  <c r="D131" i="139" s="1"/>
  <c r="G164" i="131"/>
  <c r="G163" i="131" s="1"/>
  <c r="G162" i="131" s="1"/>
  <c r="G161" i="131" s="1"/>
  <c r="G160" i="131" s="1"/>
  <c r="G159" i="131" s="1"/>
  <c r="G158" i="131" s="1"/>
  <c r="G144" i="136"/>
  <c r="G143" i="136" s="1"/>
  <c r="G142" i="136" s="1"/>
  <c r="G141" i="136" s="1"/>
  <c r="G140" i="136" s="1"/>
  <c r="G139" i="136" s="1"/>
  <c r="G138" i="136" s="1"/>
  <c r="C43" i="133"/>
  <c r="A45" i="133"/>
  <c r="A43" i="133"/>
  <c r="B43" i="133"/>
  <c r="B45" i="133"/>
  <c r="C6" i="132"/>
  <c r="C7" i="132" s="1"/>
  <c r="C45" i="133"/>
  <c r="G124" i="131"/>
  <c r="G125" i="131"/>
  <c r="E48" i="130"/>
  <c r="D78" i="130"/>
  <c r="B50" i="133" s="1"/>
  <c r="F235" i="131"/>
  <c r="F234" i="131" s="1"/>
  <c r="F233" i="131" s="1"/>
  <c r="F107" i="131"/>
  <c r="F106" i="131" s="1"/>
  <c r="F240" i="131"/>
  <c r="F39" i="131"/>
  <c r="F38" i="131" s="1"/>
  <c r="F37" i="131" s="1"/>
  <c r="G104" i="121"/>
  <c r="G103" i="121" s="1"/>
  <c r="F131" i="131"/>
  <c r="F130" i="131" s="1"/>
  <c r="F129" i="131" s="1"/>
  <c r="F128" i="131" s="1"/>
  <c r="F127" i="131"/>
  <c r="F126" i="131" s="1"/>
  <c r="D313" i="139" l="1"/>
  <c r="E131" i="139" s="1"/>
  <c r="D21" i="139"/>
  <c r="D20" i="139" s="1"/>
  <c r="G20" i="138"/>
  <c r="G314" i="138"/>
  <c r="G320" i="136"/>
  <c r="G22" i="136"/>
  <c r="B37" i="133"/>
  <c r="C2" i="134"/>
  <c r="C50" i="133"/>
  <c r="A37" i="133"/>
  <c r="A50" i="133"/>
  <c r="B2" i="134"/>
  <c r="B5" i="133"/>
  <c r="B1" i="133"/>
  <c r="F125" i="131"/>
  <c r="F124" i="131"/>
  <c r="F104" i="131"/>
  <c r="F103" i="131" s="1"/>
  <c r="F105" i="131"/>
  <c r="G102" i="121"/>
  <c r="G101" i="121" s="1"/>
  <c r="G100" i="121" s="1"/>
  <c r="G318" i="138" l="1"/>
  <c r="G319" i="138"/>
  <c r="E94" i="139"/>
  <c r="E188" i="139"/>
  <c r="E39" i="139"/>
  <c r="E181" i="139"/>
  <c r="E161" i="139"/>
  <c r="E77" i="139"/>
  <c r="E154" i="139"/>
  <c r="E124" i="139"/>
  <c r="E174" i="139"/>
  <c r="E147" i="139"/>
  <c r="E22" i="139"/>
  <c r="E46" i="139"/>
  <c r="D5" i="133"/>
  <c r="D2" i="134"/>
  <c r="C37" i="133"/>
  <c r="G200" i="131"/>
  <c r="G199" i="131" s="1"/>
  <c r="G198" i="131" s="1"/>
  <c r="G197" i="131" s="1"/>
  <c r="H200" i="131"/>
  <c r="H199" i="131" s="1"/>
  <c r="H198" i="131" s="1"/>
  <c r="H197" i="131" s="1"/>
  <c r="G196" i="131" l="1"/>
  <c r="G195" i="131"/>
  <c r="G188" i="131" s="1"/>
  <c r="H195" i="131"/>
  <c r="H188" i="131" s="1"/>
  <c r="H196" i="131"/>
  <c r="F112" i="131"/>
  <c r="F111" i="131" s="1"/>
  <c r="F110" i="131" s="1"/>
  <c r="F109" i="131" l="1"/>
  <c r="F108" i="131" s="1"/>
  <c r="F102" i="131" s="1"/>
  <c r="F101" i="131" s="1"/>
  <c r="F36" i="131"/>
  <c r="F35" i="131" s="1"/>
  <c r="F34" i="131" s="1"/>
  <c r="F289" i="131"/>
  <c r="F288" i="131" s="1"/>
  <c r="F287" i="131"/>
  <c r="F286" i="131" s="1"/>
  <c r="F339" i="131"/>
  <c r="F338" i="131" s="1"/>
  <c r="F157" i="131"/>
  <c r="F156" i="131" s="1"/>
  <c r="F266" i="131"/>
  <c r="F265" i="131" s="1"/>
  <c r="F239" i="131"/>
  <c r="F238" i="131" s="1"/>
  <c r="F237" i="131" s="1"/>
  <c r="F232" i="131" s="1"/>
  <c r="F70" i="131"/>
  <c r="F66" i="131" s="1"/>
  <c r="F65" i="131" s="1"/>
  <c r="F63" i="131"/>
  <c r="F285" i="131" l="1"/>
  <c r="F276" i="131" s="1"/>
  <c r="F264" i="131"/>
  <c r="F263" i="131"/>
  <c r="F154" i="131"/>
  <c r="F153" i="131" s="1"/>
  <c r="F152" i="131" s="1"/>
  <c r="F151" i="131" s="1"/>
  <c r="F155" i="131"/>
  <c r="F135" i="131"/>
  <c r="F134" i="131" s="1"/>
  <c r="F133" i="131" s="1"/>
  <c r="F132" i="131" s="1"/>
  <c r="F123" i="131" s="1"/>
  <c r="F122" i="131" s="1"/>
  <c r="F121" i="131" s="1"/>
  <c r="F337" i="131"/>
  <c r="F336" i="131"/>
  <c r="G34" i="125"/>
  <c r="G33" i="125" s="1"/>
  <c r="F255" i="131"/>
  <c r="F254" i="131" s="1"/>
  <c r="G49" i="125"/>
  <c r="F323" i="131"/>
  <c r="F322" i="131" s="1"/>
  <c r="F321" i="131" s="1"/>
  <c r="F320" i="131" s="1"/>
  <c r="F62" i="131"/>
  <c r="F61" i="131" s="1"/>
  <c r="F60" i="131"/>
  <c r="F59" i="131" s="1"/>
  <c r="F58" i="131" s="1"/>
  <c r="F57" i="131" s="1"/>
  <c r="F69" i="131"/>
  <c r="F68" i="131" s="1"/>
  <c r="F67" i="131" s="1"/>
  <c r="F253" i="131" l="1"/>
  <c r="F252" i="131"/>
  <c r="F231" i="131" s="1"/>
  <c r="F230" i="131" s="1"/>
  <c r="F223" i="131" s="1"/>
  <c r="F296" i="131"/>
  <c r="F295" i="131" s="1"/>
  <c r="F294" i="131" s="1"/>
  <c r="I334" i="121"/>
  <c r="H334" i="121"/>
  <c r="G334" i="121"/>
  <c r="F207" i="131"/>
  <c r="F206" i="131" s="1"/>
  <c r="F205" i="131" s="1"/>
  <c r="F100" i="139" l="1"/>
  <c r="F99" i="139" s="1"/>
  <c r="H100" i="138"/>
  <c r="H99" i="138" s="1"/>
  <c r="H127" i="131"/>
  <c r="H126" i="131" s="1"/>
  <c r="H124" i="131" s="1"/>
  <c r="H107" i="136"/>
  <c r="H106" i="136" s="1"/>
  <c r="F204" i="131"/>
  <c r="F203" i="131"/>
  <c r="F202" i="131" s="1"/>
  <c r="F201" i="131" s="1"/>
  <c r="I238" i="121"/>
  <c r="I237" i="121" s="1"/>
  <c r="I236" i="121" s="1"/>
  <c r="I235" i="121" s="1"/>
  <c r="H238" i="121"/>
  <c r="H237" i="121" s="1"/>
  <c r="H236" i="121" s="1"/>
  <c r="H235" i="121" s="1"/>
  <c r="G238" i="121"/>
  <c r="G237" i="121" s="1"/>
  <c r="G236" i="121" s="1"/>
  <c r="G235" i="121" s="1"/>
  <c r="H332" i="121"/>
  <c r="I332" i="121"/>
  <c r="G332" i="121"/>
  <c r="H125" i="131" l="1"/>
  <c r="H331" i="121"/>
  <c r="H330" i="121" s="1"/>
  <c r="H329" i="121" s="1"/>
  <c r="H328" i="121" s="1"/>
  <c r="H327" i="121" s="1"/>
  <c r="D10" i="132" s="1"/>
  <c r="H98" i="138"/>
  <c r="H97" i="138"/>
  <c r="H96" i="138" s="1"/>
  <c r="H95" i="138" s="1"/>
  <c r="H94" i="138" s="1"/>
  <c r="H21" i="138" s="1"/>
  <c r="G331" i="121"/>
  <c r="G330" i="121" s="1"/>
  <c r="G329" i="121" s="1"/>
  <c r="G328" i="121" s="1"/>
  <c r="G327" i="121" s="1"/>
  <c r="I331" i="121"/>
  <c r="I330" i="121" s="1"/>
  <c r="I329" i="121" s="1"/>
  <c r="I328" i="121" s="1"/>
  <c r="F98" i="139"/>
  <c r="F97" i="139"/>
  <c r="F96" i="139" s="1"/>
  <c r="F95" i="139" s="1"/>
  <c r="F94" i="139" s="1"/>
  <c r="H105" i="136"/>
  <c r="H104" i="136"/>
  <c r="H103" i="136" s="1"/>
  <c r="H102" i="136" s="1"/>
  <c r="H101" i="136" s="1"/>
  <c r="G146" i="121"/>
  <c r="G145" i="121" s="1"/>
  <c r="I128" i="121"/>
  <c r="H128" i="121"/>
  <c r="G128" i="121"/>
  <c r="I327" i="121" l="1"/>
  <c r="E10" i="132" s="1"/>
  <c r="H20" i="138"/>
  <c r="H314" i="138"/>
  <c r="F313" i="139"/>
  <c r="G94" i="139" s="1"/>
  <c r="F21" i="139"/>
  <c r="F20" i="139" s="1"/>
  <c r="C10" i="132"/>
  <c r="H320" i="136"/>
  <c r="H22" i="136"/>
  <c r="H21" i="136" s="1"/>
  <c r="I65" i="121"/>
  <c r="H65" i="121"/>
  <c r="G65" i="121"/>
  <c r="H80" i="131"/>
  <c r="H79" i="131" s="1"/>
  <c r="H78" i="131" s="1"/>
  <c r="H77" i="131" s="1"/>
  <c r="G80" i="131"/>
  <c r="G79" i="131" s="1"/>
  <c r="G78" i="131" s="1"/>
  <c r="G77" i="131" s="1"/>
  <c r="G36" i="131"/>
  <c r="G35" i="131" s="1"/>
  <c r="G34" i="131" s="1"/>
  <c r="H36" i="131"/>
  <c r="H35" i="131" s="1"/>
  <c r="H34" i="131" s="1"/>
  <c r="G339" i="131"/>
  <c r="G338" i="131" s="1"/>
  <c r="H339" i="131"/>
  <c r="H338" i="131" s="1"/>
  <c r="G272" i="131"/>
  <c r="G271" i="131" s="1"/>
  <c r="G270" i="131" s="1"/>
  <c r="G269" i="131" s="1"/>
  <c r="G268" i="131" s="1"/>
  <c r="G267" i="131" s="1"/>
  <c r="H272" i="131"/>
  <c r="H271" i="131" s="1"/>
  <c r="H270" i="131" s="1"/>
  <c r="H269" i="131" s="1"/>
  <c r="H268" i="131" s="1"/>
  <c r="H267" i="131" s="1"/>
  <c r="G236" i="131"/>
  <c r="G234" i="131" s="1"/>
  <c r="G233" i="131" s="1"/>
  <c r="H236" i="131"/>
  <c r="H234" i="131" s="1"/>
  <c r="H233" i="131" s="1"/>
  <c r="H318" i="138" l="1"/>
  <c r="H319" i="138"/>
  <c r="G161" i="139"/>
  <c r="G147" i="139"/>
  <c r="G77" i="139"/>
  <c r="G124" i="139"/>
  <c r="G154" i="139"/>
  <c r="G188" i="139"/>
  <c r="G181" i="139"/>
  <c r="G131" i="139"/>
  <c r="G39" i="139"/>
  <c r="G174" i="139"/>
  <c r="G46" i="139"/>
  <c r="G22" i="139"/>
  <c r="G232" i="131"/>
  <c r="H232" i="131"/>
  <c r="H231" i="131" s="1"/>
  <c r="H230" i="131" s="1"/>
  <c r="H223" i="131" s="1"/>
  <c r="H76" i="131"/>
  <c r="H65" i="131" s="1"/>
  <c r="G76" i="131"/>
  <c r="G337" i="131"/>
  <c r="G336" i="131"/>
  <c r="G296" i="131" s="1"/>
  <c r="G295" i="131" s="1"/>
  <c r="G294" i="131" s="1"/>
  <c r="H337" i="131"/>
  <c r="H336" i="131"/>
  <c r="H296" i="131" s="1"/>
  <c r="H295" i="131" s="1"/>
  <c r="H294" i="131" s="1"/>
  <c r="I127" i="121"/>
  <c r="I126" i="121" s="1"/>
  <c r="I125" i="121" s="1"/>
  <c r="I124" i="121" s="1"/>
  <c r="H127" i="121"/>
  <c r="H126" i="121" s="1"/>
  <c r="H125" i="121" s="1"/>
  <c r="H124" i="121" s="1"/>
  <c r="G127" i="121"/>
  <c r="G126" i="121" s="1"/>
  <c r="G125" i="121" s="1"/>
  <c r="G124" i="121" s="1"/>
  <c r="I111" i="121"/>
  <c r="I110" i="121" s="1"/>
  <c r="I109" i="121" s="1"/>
  <c r="H111" i="121"/>
  <c r="H110" i="121" s="1"/>
  <c r="H109" i="121" s="1"/>
  <c r="G111" i="121"/>
  <c r="G110" i="121" s="1"/>
  <c r="G109" i="121" s="1"/>
  <c r="G65" i="131" l="1"/>
  <c r="H222" i="131"/>
  <c r="G108" i="121"/>
  <c r="G107" i="121"/>
  <c r="I107" i="121"/>
  <c r="I108" i="121"/>
  <c r="H108" i="121"/>
  <c r="H107" i="121"/>
  <c r="H70" i="121"/>
  <c r="I70" i="121"/>
  <c r="G41" i="125" l="1"/>
  <c r="G40" i="125" s="1"/>
  <c r="G39" i="125" s="1"/>
  <c r="G38" i="125" s="1"/>
  <c r="G37" i="125" s="1"/>
  <c r="G36" i="125" s="1"/>
  <c r="E24" i="127" l="1"/>
  <c r="D24" i="127"/>
  <c r="H135" i="131" l="1"/>
  <c r="H134" i="131" s="1"/>
  <c r="H133" i="131" s="1"/>
  <c r="H132" i="131" s="1"/>
  <c r="H123" i="131" s="1"/>
  <c r="H122" i="131" s="1"/>
  <c r="I146" i="121"/>
  <c r="I145" i="121" s="1"/>
  <c r="F293" i="131" l="1"/>
  <c r="F292" i="131" s="1"/>
  <c r="F291" i="131" s="1"/>
  <c r="F290" i="131" s="1"/>
  <c r="F275" i="131" l="1"/>
  <c r="F274" i="131" s="1"/>
  <c r="F273" i="131" s="1"/>
  <c r="F222" i="131" s="1"/>
  <c r="H40" i="126"/>
  <c r="H39" i="126" s="1"/>
  <c r="H37" i="126" s="1"/>
  <c r="G40" i="126"/>
  <c r="G39" i="126" s="1"/>
  <c r="G37" i="126" s="1"/>
  <c r="F40" i="126"/>
  <c r="F39" i="126" s="1"/>
  <c r="F37" i="126" s="1"/>
  <c r="H35" i="126"/>
  <c r="H34" i="126" s="1"/>
  <c r="H32" i="126" s="1"/>
  <c r="F35" i="126"/>
  <c r="F34" i="126" s="1"/>
  <c r="F32" i="126" s="1"/>
  <c r="H30" i="126"/>
  <c r="H29" i="126" s="1"/>
  <c r="H27" i="126" s="1"/>
  <c r="G30" i="126"/>
  <c r="G29" i="126" s="1"/>
  <c r="G27" i="126" s="1"/>
  <c r="F30" i="126"/>
  <c r="F29" i="126" s="1"/>
  <c r="F27" i="126" s="1"/>
  <c r="H26" i="126" l="1"/>
  <c r="H25" i="126" s="1"/>
  <c r="F26" i="126"/>
  <c r="F24" i="126" s="1"/>
  <c r="F25" i="126" l="1"/>
  <c r="F23" i="126" s="1"/>
  <c r="I74" i="121"/>
  <c r="I73" i="121" s="1"/>
  <c r="H74" i="121"/>
  <c r="H73" i="121" s="1"/>
  <c r="G74" i="121"/>
  <c r="G73" i="121" s="1"/>
  <c r="I29" i="121" l="1"/>
  <c r="I325" i="121"/>
  <c r="I324" i="121" s="1"/>
  <c r="I323" i="121" s="1"/>
  <c r="I322" i="121" s="1"/>
  <c r="I321" i="121" s="1"/>
  <c r="I306" i="121"/>
  <c r="I305" i="121" s="1"/>
  <c r="I301" i="121"/>
  <c r="I299" i="121"/>
  <c r="I291" i="121"/>
  <c r="I290" i="121" s="1"/>
  <c r="I289" i="121" s="1"/>
  <c r="I288" i="121" s="1"/>
  <c r="I287" i="121" s="1"/>
  <c r="I286" i="121" s="1"/>
  <c r="I284" i="121"/>
  <c r="I283" i="121"/>
  <c r="I282" i="121" s="1"/>
  <c r="I268" i="121"/>
  <c r="I267" i="121"/>
  <c r="I271" i="121"/>
  <c r="I270" i="121" s="1"/>
  <c r="I265" i="121"/>
  <c r="I263" i="121"/>
  <c r="I261" i="121"/>
  <c r="I253" i="121"/>
  <c r="I252" i="121" s="1"/>
  <c r="I251" i="121" s="1"/>
  <c r="I250" i="121" s="1"/>
  <c r="I249" i="121" s="1"/>
  <c r="I246" i="121"/>
  <c r="I245" i="121"/>
  <c r="I244" i="121" s="1"/>
  <c r="I243" i="121" s="1"/>
  <c r="I242" i="121" s="1"/>
  <c r="I232" i="121"/>
  <c r="I231" i="121" s="1"/>
  <c r="I226" i="121"/>
  <c r="I225" i="121" s="1"/>
  <c r="I221" i="121"/>
  <c r="I220" i="121"/>
  <c r="I219" i="121" s="1"/>
  <c r="I218" i="121" s="1"/>
  <c r="I215" i="121"/>
  <c r="I213" i="121" s="1"/>
  <c r="I212" i="121" s="1"/>
  <c r="I211" i="121" s="1"/>
  <c r="I209" i="121"/>
  <c r="I208" i="121" s="1"/>
  <c r="I207" i="121"/>
  <c r="I206" i="121" s="1"/>
  <c r="I205" i="121" s="1"/>
  <c r="I203" i="121"/>
  <c r="I202" i="121" s="1"/>
  <c r="I201" i="121" s="1"/>
  <c r="I199" i="121"/>
  <c r="I198" i="121"/>
  <c r="I196" i="121"/>
  <c r="I195" i="121" s="1"/>
  <c r="I189" i="121"/>
  <c r="I188" i="121" s="1"/>
  <c r="I187" i="121" s="1"/>
  <c r="I186" i="121" s="1"/>
  <c r="I185" i="121" s="1"/>
  <c r="I184" i="121" s="1"/>
  <c r="I182" i="121"/>
  <c r="I181" i="121"/>
  <c r="I179" i="121"/>
  <c r="I178" i="121" s="1"/>
  <c r="I168" i="121"/>
  <c r="I167" i="121" s="1"/>
  <c r="I171" i="121"/>
  <c r="I170" i="121"/>
  <c r="I165" i="121"/>
  <c r="I164" i="121"/>
  <c r="I162" i="121"/>
  <c r="I161" i="121"/>
  <c r="I150" i="121"/>
  <c r="I149" i="121"/>
  <c r="I148" i="121" s="1"/>
  <c r="I143" i="121"/>
  <c r="I142" i="121" s="1"/>
  <c r="I140" i="121"/>
  <c r="I139" i="121" s="1"/>
  <c r="I137" i="121"/>
  <c r="I136" i="121"/>
  <c r="I131" i="121"/>
  <c r="I122" i="121"/>
  <c r="I121" i="121" s="1"/>
  <c r="I119" i="121"/>
  <c r="I117" i="121"/>
  <c r="I104" i="121"/>
  <c r="I102" i="121" s="1"/>
  <c r="I101" i="121" s="1"/>
  <c r="I100" i="121" s="1"/>
  <c r="I96" i="121"/>
  <c r="I94" i="121"/>
  <c r="I92" i="121"/>
  <c r="I91" i="121"/>
  <c r="I90" i="121" s="1"/>
  <c r="I84" i="121"/>
  <c r="I64" i="121"/>
  <c r="I63" i="121" s="1"/>
  <c r="I57" i="121"/>
  <c r="I56" i="121" s="1"/>
  <c r="I55" i="121" s="1"/>
  <c r="I54" i="121" s="1"/>
  <c r="I53" i="121" s="1"/>
  <c r="I51" i="121"/>
  <c r="I50" i="121"/>
  <c r="I49" i="121" s="1"/>
  <c r="I48" i="121" s="1"/>
  <c r="I44" i="121"/>
  <c r="I43" i="121"/>
  <c r="I42" i="121" s="1"/>
  <c r="I41" i="121" s="1"/>
  <c r="I36" i="121"/>
  <c r="I35" i="121" s="1"/>
  <c r="I39" i="121"/>
  <c r="I38" i="121" s="1"/>
  <c r="I31" i="121"/>
  <c r="H325" i="121"/>
  <c r="H324" i="121" s="1"/>
  <c r="H323" i="121" s="1"/>
  <c r="H322" i="121" s="1"/>
  <c r="H321" i="121" s="1"/>
  <c r="H306" i="121"/>
  <c r="H305" i="121" s="1"/>
  <c r="H301" i="121"/>
  <c r="H299" i="121"/>
  <c r="H291" i="121"/>
  <c r="H290" i="121" s="1"/>
  <c r="H289" i="121" s="1"/>
  <c r="H288" i="121" s="1"/>
  <c r="H287" i="121" s="1"/>
  <c r="H286" i="121" s="1"/>
  <c r="H284" i="121"/>
  <c r="H283" i="121"/>
  <c r="H282" i="121" s="1"/>
  <c r="H268" i="121"/>
  <c r="H267" i="121"/>
  <c r="H271" i="121"/>
  <c r="H270" i="121" s="1"/>
  <c r="H265" i="121"/>
  <c r="H263" i="121"/>
  <c r="H261" i="121"/>
  <c r="H253" i="121"/>
  <c r="H252" i="121" s="1"/>
  <c r="H246" i="121"/>
  <c r="H245" i="121"/>
  <c r="H244" i="121" s="1"/>
  <c r="H243" i="121" s="1"/>
  <c r="H242" i="121" s="1"/>
  <c r="H232" i="121"/>
  <c r="H231" i="121" s="1"/>
  <c r="H226" i="121"/>
  <c r="H225" i="121" s="1"/>
  <c r="H221" i="121"/>
  <c r="H220" i="121"/>
  <c r="H219" i="121" s="1"/>
  <c r="H218" i="121" s="1"/>
  <c r="H215" i="121"/>
  <c r="H214" i="121" s="1"/>
  <c r="H209" i="121"/>
  <c r="H208" i="121" s="1"/>
  <c r="H207" i="121"/>
  <c r="H206" i="121" s="1"/>
  <c r="H205" i="121" s="1"/>
  <c r="H203" i="121"/>
  <c r="H202" i="121" s="1"/>
  <c r="H201" i="121" s="1"/>
  <c r="H199" i="121"/>
  <c r="H198" i="121"/>
  <c r="H196" i="121"/>
  <c r="H195" i="121" s="1"/>
  <c r="H189" i="121"/>
  <c r="H188" i="121" s="1"/>
  <c r="H187" i="121" s="1"/>
  <c r="H186" i="121" s="1"/>
  <c r="H185" i="121" s="1"/>
  <c r="H184" i="121" s="1"/>
  <c r="H182" i="121"/>
  <c r="H181" i="121"/>
  <c r="H179" i="121"/>
  <c r="H178" i="121" s="1"/>
  <c r="H168" i="121"/>
  <c r="H167" i="121" s="1"/>
  <c r="H171" i="121"/>
  <c r="H170" i="121"/>
  <c r="H165" i="121"/>
  <c r="H164" i="121"/>
  <c r="H162" i="121"/>
  <c r="H161" i="121"/>
  <c r="H150" i="121"/>
  <c r="H149" i="121"/>
  <c r="H148" i="121" s="1"/>
  <c r="H143" i="121"/>
  <c r="H142" i="121" s="1"/>
  <c r="H140" i="121"/>
  <c r="H139" i="121" s="1"/>
  <c r="H137" i="121"/>
  <c r="H136" i="121"/>
  <c r="H131" i="121"/>
  <c r="H122" i="121"/>
  <c r="H121" i="121" s="1"/>
  <c r="H119" i="121"/>
  <c r="H117" i="121" s="1"/>
  <c r="H104" i="121"/>
  <c r="H103" i="121" s="1"/>
  <c r="H96" i="121"/>
  <c r="H94" i="121"/>
  <c r="H92" i="121"/>
  <c r="H91" i="121"/>
  <c r="H90" i="121" s="1"/>
  <c r="H84" i="121"/>
  <c r="H82" i="121"/>
  <c r="H64" i="121"/>
  <c r="H63" i="121" s="1"/>
  <c r="H57" i="121"/>
  <c r="H56" i="121" s="1"/>
  <c r="H55" i="121" s="1"/>
  <c r="H54" i="121" s="1"/>
  <c r="H51" i="121"/>
  <c r="H50" i="121"/>
  <c r="H49" i="121" s="1"/>
  <c r="H48" i="121" s="1"/>
  <c r="H44" i="121"/>
  <c r="H43" i="121"/>
  <c r="H42" i="121" s="1"/>
  <c r="H41" i="121" s="1"/>
  <c r="H36" i="121"/>
  <c r="H35" i="121" s="1"/>
  <c r="H39" i="121"/>
  <c r="H38" i="121" s="1"/>
  <c r="H31" i="121"/>
  <c r="H29" i="121"/>
  <c r="I260" i="121" l="1"/>
  <c r="I259" i="121" s="1"/>
  <c r="I258" i="121" s="1"/>
  <c r="I257" i="121" s="1"/>
  <c r="I256" i="121" s="1"/>
  <c r="I255" i="121" s="1"/>
  <c r="I281" i="121"/>
  <c r="I280" i="121" s="1"/>
  <c r="I279" i="121" s="1"/>
  <c r="H99" i="131"/>
  <c r="H98" i="131" s="1"/>
  <c r="H97" i="131" s="1"/>
  <c r="H96" i="131" s="1"/>
  <c r="H95" i="131" s="1"/>
  <c r="H281" i="121"/>
  <c r="H280" i="121" s="1"/>
  <c r="H279" i="121" s="1"/>
  <c r="G99" i="131"/>
  <c r="G98" i="131" s="1"/>
  <c r="G97" i="131" s="1"/>
  <c r="G96" i="131" s="1"/>
  <c r="G95" i="131" s="1"/>
  <c r="G239" i="136"/>
  <c r="G238" i="136" s="1"/>
  <c r="G237" i="136" s="1"/>
  <c r="G236" i="136" s="1"/>
  <c r="G211" i="136" s="1"/>
  <c r="G210" i="136" s="1"/>
  <c r="G203" i="136" s="1"/>
  <c r="G202" i="136" s="1"/>
  <c r="G21" i="136" s="1"/>
  <c r="G259" i="131"/>
  <c r="G258" i="131" s="1"/>
  <c r="G257" i="131" s="1"/>
  <c r="G256" i="131" s="1"/>
  <c r="G231" i="131" s="1"/>
  <c r="G230" i="131" s="1"/>
  <c r="G223" i="131" s="1"/>
  <c r="G222" i="131" s="1"/>
  <c r="I81" i="121"/>
  <c r="I320" i="121"/>
  <c r="H320" i="121"/>
  <c r="H28" i="121"/>
  <c r="H27" i="121" s="1"/>
  <c r="H26" i="121" s="1"/>
  <c r="H25" i="121" s="1"/>
  <c r="H24" i="121" s="1"/>
  <c r="I28" i="121"/>
  <c r="I27" i="121" s="1"/>
  <c r="I26" i="121" s="1"/>
  <c r="I25" i="121" s="1"/>
  <c r="I24" i="121" s="1"/>
  <c r="H81" i="121"/>
  <c r="H80" i="121" s="1"/>
  <c r="H79" i="121" s="1"/>
  <c r="H78" i="121" s="1"/>
  <c r="H77" i="121" s="1"/>
  <c r="H76" i="121" s="1"/>
  <c r="I135" i="121"/>
  <c r="I134" i="121" s="1"/>
  <c r="H194" i="121"/>
  <c r="H193" i="121" s="1"/>
  <c r="H192" i="121" s="1"/>
  <c r="I194" i="121"/>
  <c r="I193" i="121" s="1"/>
  <c r="I192" i="121" s="1"/>
  <c r="H177" i="121"/>
  <c r="H176" i="121" s="1"/>
  <c r="H175" i="121" s="1"/>
  <c r="H174" i="121" s="1"/>
  <c r="I177" i="121"/>
  <c r="I176" i="121" s="1"/>
  <c r="I175" i="121" s="1"/>
  <c r="I174" i="121" s="1"/>
  <c r="H155" i="121"/>
  <c r="H154" i="121" s="1"/>
  <c r="H153" i="121" s="1"/>
  <c r="H152" i="121" s="1"/>
  <c r="G150" i="131"/>
  <c r="G149" i="131" s="1"/>
  <c r="G148" i="131" s="1"/>
  <c r="G47" i="126"/>
  <c r="G46" i="126" s="1"/>
  <c r="G44" i="126" s="1"/>
  <c r="H303" i="121"/>
  <c r="G42" i="131"/>
  <c r="G41" i="131" s="1"/>
  <c r="G40" i="131" s="1"/>
  <c r="G33" i="131" s="1"/>
  <c r="G32" i="131" s="1"/>
  <c r="G31" i="131" s="1"/>
  <c r="G30" i="131" s="1"/>
  <c r="I303" i="121"/>
  <c r="H42" i="131"/>
  <c r="H41" i="131" s="1"/>
  <c r="H40" i="131" s="1"/>
  <c r="H33" i="131" s="1"/>
  <c r="H32" i="131" s="1"/>
  <c r="H31" i="131" s="1"/>
  <c r="H30" i="131" s="1"/>
  <c r="H116" i="121"/>
  <c r="I278" i="121"/>
  <c r="I47" i="121"/>
  <c r="I46" i="121" s="1"/>
  <c r="I116" i="121"/>
  <c r="I214" i="121"/>
  <c r="H62" i="121"/>
  <c r="H61" i="121" s="1"/>
  <c r="H60" i="121" s="1"/>
  <c r="I241" i="121"/>
  <c r="H241" i="121"/>
  <c r="H278" i="121"/>
  <c r="I80" i="121"/>
  <c r="I79" i="121" s="1"/>
  <c r="I78" i="121" s="1"/>
  <c r="I77" i="121" s="1"/>
  <c r="I76" i="121" s="1"/>
  <c r="H213" i="121"/>
  <c r="H212" i="121" s="1"/>
  <c r="H211" i="121" s="1"/>
  <c r="I89" i="121"/>
  <c r="I88" i="121" s="1"/>
  <c r="I87" i="121" s="1"/>
  <c r="H47" i="121"/>
  <c r="H46" i="121" s="1"/>
  <c r="I160" i="121"/>
  <c r="I159" i="121" s="1"/>
  <c r="I158" i="121" s="1"/>
  <c r="I157" i="121" s="1"/>
  <c r="H160" i="121"/>
  <c r="H159" i="121" s="1"/>
  <c r="H158" i="121" s="1"/>
  <c r="H157" i="121" s="1"/>
  <c r="I230" i="121"/>
  <c r="I229" i="121" s="1"/>
  <c r="I228" i="121" s="1"/>
  <c r="H260" i="121"/>
  <c r="H89" i="121"/>
  <c r="H88" i="121" s="1"/>
  <c r="H251" i="121"/>
  <c r="H250" i="121" s="1"/>
  <c r="H249" i="121" s="1"/>
  <c r="H248" i="121"/>
  <c r="I103" i="121"/>
  <c r="I248" i="121"/>
  <c r="H230" i="121"/>
  <c r="H229" i="121" s="1"/>
  <c r="H228" i="121" s="1"/>
  <c r="H102" i="121"/>
  <c r="H101" i="121" s="1"/>
  <c r="H100" i="121" s="1"/>
  <c r="I62" i="121"/>
  <c r="I61" i="121" s="1"/>
  <c r="I60" i="121" s="1"/>
  <c r="I224" i="121"/>
  <c r="I223" i="121" s="1"/>
  <c r="I217" i="121" s="1"/>
  <c r="H224" i="121"/>
  <c r="H223" i="121" s="1"/>
  <c r="H217" i="121" s="1"/>
  <c r="G64" i="131" l="1"/>
  <c r="H64" i="131"/>
  <c r="D11" i="132"/>
  <c r="H319" i="121"/>
  <c r="H318" i="121" s="1"/>
  <c r="D9" i="132"/>
  <c r="I319" i="121"/>
  <c r="I318" i="121" s="1"/>
  <c r="E9" i="132"/>
  <c r="E11" i="132"/>
  <c r="G147" i="131"/>
  <c r="G146" i="131"/>
  <c r="G145" i="131" s="1"/>
  <c r="H259" i="121"/>
  <c r="H258" i="121" s="1"/>
  <c r="H23" i="121"/>
  <c r="I23" i="121"/>
  <c r="I298" i="121"/>
  <c r="I297" i="121" s="1"/>
  <c r="I296" i="121" s="1"/>
  <c r="I295" i="121" s="1"/>
  <c r="I294" i="121" s="1"/>
  <c r="I293" i="121" s="1"/>
  <c r="H298" i="121"/>
  <c r="H297" i="121" s="1"/>
  <c r="H296" i="121" s="1"/>
  <c r="H115" i="121"/>
  <c r="H114" i="121" s="1"/>
  <c r="G43" i="126"/>
  <c r="G42" i="126" s="1"/>
  <c r="H87" i="121"/>
  <c r="I115" i="121"/>
  <c r="I114" i="121" s="1"/>
  <c r="I240" i="121"/>
  <c r="H240" i="121"/>
  <c r="I234" i="121"/>
  <c r="I191" i="121" s="1"/>
  <c r="H234" i="121"/>
  <c r="H191" i="121" s="1"/>
  <c r="E8" i="132" l="1"/>
  <c r="H257" i="121"/>
  <c r="H256" i="121" s="1"/>
  <c r="H255" i="121" s="1"/>
  <c r="D8" i="132"/>
  <c r="C54" i="133"/>
  <c r="B54" i="133"/>
  <c r="H295" i="121"/>
  <c r="H294" i="121" s="1"/>
  <c r="H293" i="121" s="1"/>
  <c r="H113" i="121"/>
  <c r="I173" i="121"/>
  <c r="H173" i="121"/>
  <c r="I113" i="121"/>
  <c r="I106" i="121" l="1"/>
  <c r="I86" i="121" s="1"/>
  <c r="F11" i="133"/>
  <c r="H106" i="121"/>
  <c r="H86" i="121" s="1"/>
  <c r="E11" i="133"/>
  <c r="G48" i="125"/>
  <c r="G47" i="125" s="1"/>
  <c r="G46" i="125" s="1"/>
  <c r="G45" i="125" s="1"/>
  <c r="G32" i="125"/>
  <c r="G31" i="125" s="1"/>
  <c r="G30" i="125"/>
  <c r="G28" i="125"/>
  <c r="G26" i="125"/>
  <c r="G25" i="125" l="1"/>
  <c r="G24" i="125" s="1"/>
  <c r="G23" i="125" s="1"/>
  <c r="G22" i="125" s="1"/>
  <c r="G21" i="125" s="1"/>
  <c r="G44" i="125"/>
  <c r="G43" i="125" s="1"/>
  <c r="G70" i="121"/>
  <c r="G50" i="125" l="1"/>
  <c r="G143" i="121" l="1"/>
  <c r="G142" i="121" s="1"/>
  <c r="G220" i="121" l="1"/>
  <c r="G219" i="121" s="1"/>
  <c r="G218" i="121" s="1"/>
  <c r="G221" i="121"/>
  <c r="G253" i="121" l="1"/>
  <c r="G252" i="121" s="1"/>
  <c r="G137" i="121"/>
  <c r="G248" i="121" l="1"/>
  <c r="G251" i="121"/>
  <c r="G250" i="121" s="1"/>
  <c r="G249" i="121" s="1"/>
  <c r="G325" i="121" l="1"/>
  <c r="G324" i="121"/>
  <c r="G323" i="121" s="1"/>
  <c r="G322" i="121" s="1"/>
  <c r="G321" i="121" s="1"/>
  <c r="G320" i="121" s="1"/>
  <c r="C9" i="132" s="1"/>
  <c r="G306" i="121"/>
  <c r="G305" i="121" s="1"/>
  <c r="G301" i="121"/>
  <c r="G299" i="121"/>
  <c r="G291" i="121"/>
  <c r="G290" i="121" s="1"/>
  <c r="G289" i="121" s="1"/>
  <c r="G288" i="121" s="1"/>
  <c r="G287" i="121" s="1"/>
  <c r="G286" i="121" s="1"/>
  <c r="G284" i="121"/>
  <c r="G283" i="121"/>
  <c r="G282" i="121" s="1"/>
  <c r="G268" i="121"/>
  <c r="G267" i="121"/>
  <c r="G271" i="121"/>
  <c r="G270" i="121" s="1"/>
  <c r="G265" i="121"/>
  <c r="G263" i="121"/>
  <c r="G261" i="121"/>
  <c r="G246" i="121"/>
  <c r="G245" i="121"/>
  <c r="G244" i="121" s="1"/>
  <c r="G243" i="121" s="1"/>
  <c r="G242" i="121" s="1"/>
  <c r="G232" i="121"/>
  <c r="G231" i="121" s="1"/>
  <c r="G226" i="121"/>
  <c r="G225" i="121" s="1"/>
  <c r="G215" i="121"/>
  <c r="G214" i="121" s="1"/>
  <c r="G209" i="121"/>
  <c r="G208" i="121" s="1"/>
  <c r="G207" i="121"/>
  <c r="G206" i="121" s="1"/>
  <c r="G205" i="121" s="1"/>
  <c r="G203" i="121"/>
  <c r="G202" i="121" s="1"/>
  <c r="G201" i="121" s="1"/>
  <c r="G199" i="121"/>
  <c r="G198" i="121"/>
  <c r="G196" i="121"/>
  <c r="G195" i="121" s="1"/>
  <c r="G189" i="121"/>
  <c r="G188" i="121" s="1"/>
  <c r="G187" i="121" s="1"/>
  <c r="G186" i="121" s="1"/>
  <c r="G185" i="121" s="1"/>
  <c r="G184" i="121" s="1"/>
  <c r="G182" i="121"/>
  <c r="G181" i="121"/>
  <c r="G179" i="121"/>
  <c r="G178" i="121" s="1"/>
  <c r="G168" i="121"/>
  <c r="G167" i="121" s="1"/>
  <c r="G171" i="121"/>
  <c r="G170" i="121"/>
  <c r="G165" i="121"/>
  <c r="G164" i="121"/>
  <c r="G162" i="121"/>
  <c r="G161" i="121"/>
  <c r="G150" i="121"/>
  <c r="G149" i="121"/>
  <c r="G148" i="121" s="1"/>
  <c r="G140" i="121"/>
  <c r="G131" i="121"/>
  <c r="G122" i="121"/>
  <c r="G121" i="121" s="1"/>
  <c r="G119" i="121"/>
  <c r="G117" i="121"/>
  <c r="G96" i="121"/>
  <c r="G94" i="121"/>
  <c r="G92" i="121"/>
  <c r="G84" i="121"/>
  <c r="G82" i="121"/>
  <c r="G64" i="121"/>
  <c r="G57" i="121"/>
  <c r="G56" i="121" s="1"/>
  <c r="G55" i="121" s="1"/>
  <c r="G54" i="121" s="1"/>
  <c r="G53" i="121" s="1"/>
  <c r="G51" i="121"/>
  <c r="G50" i="121"/>
  <c r="G49" i="121" s="1"/>
  <c r="G48" i="121" s="1"/>
  <c r="G44" i="121"/>
  <c r="G43" i="121"/>
  <c r="G42" i="121" s="1"/>
  <c r="G41" i="121" s="1"/>
  <c r="G36" i="121"/>
  <c r="G35" i="121" s="1"/>
  <c r="G39" i="121"/>
  <c r="G38" i="121" s="1"/>
  <c r="G31" i="121"/>
  <c r="G29" i="121"/>
  <c r="G281" i="121" l="1"/>
  <c r="G280" i="121" s="1"/>
  <c r="G279" i="121" s="1"/>
  <c r="F99" i="131"/>
  <c r="F98" i="131" s="1"/>
  <c r="F97" i="131" s="1"/>
  <c r="F96" i="131" s="1"/>
  <c r="F95" i="131" s="1"/>
  <c r="G28" i="121"/>
  <c r="G139" i="121"/>
  <c r="G135" i="121" s="1"/>
  <c r="G134" i="121" s="1"/>
  <c r="G81" i="121"/>
  <c r="G80" i="121" s="1"/>
  <c r="G79" i="121" s="1"/>
  <c r="G78" i="121" s="1"/>
  <c r="G77" i="121" s="1"/>
  <c r="G76" i="121" s="1"/>
  <c r="C4" i="135" s="1"/>
  <c r="E4" i="135" s="1"/>
  <c r="G177" i="121"/>
  <c r="G194" i="121"/>
  <c r="G193" i="121" s="1"/>
  <c r="G192" i="121" s="1"/>
  <c r="G27" i="121"/>
  <c r="G26" i="121" s="1"/>
  <c r="G63" i="121"/>
  <c r="G62" i="121" s="1"/>
  <c r="G61" i="121" s="1"/>
  <c r="G60" i="121" s="1"/>
  <c r="G241" i="121"/>
  <c r="G240" i="121" s="1"/>
  <c r="C8" i="135" s="1"/>
  <c r="E8" i="135" s="1"/>
  <c r="F150" i="131"/>
  <c r="F48" i="126"/>
  <c r="F47" i="126" s="1"/>
  <c r="F46" i="126" s="1"/>
  <c r="F44" i="126" s="1"/>
  <c r="F43" i="126" s="1"/>
  <c r="F42" i="126" s="1"/>
  <c r="G260" i="121"/>
  <c r="G259" i="121" s="1"/>
  <c r="G303" i="121"/>
  <c r="G298" i="121" s="1"/>
  <c r="G297" i="121" s="1"/>
  <c r="G296" i="121" s="1"/>
  <c r="G295" i="121" s="1"/>
  <c r="F42" i="131"/>
  <c r="F41" i="131" s="1"/>
  <c r="F40" i="131" s="1"/>
  <c r="F33" i="131" s="1"/>
  <c r="F32" i="131" s="1"/>
  <c r="F31" i="131" s="1"/>
  <c r="F30" i="131" s="1"/>
  <c r="G234" i="121"/>
  <c r="G224" i="121"/>
  <c r="G223" i="121" s="1"/>
  <c r="G217" i="121" s="1"/>
  <c r="G230" i="121"/>
  <c r="G229" i="121" s="1"/>
  <c r="G228" i="121" s="1"/>
  <c r="G319" i="121"/>
  <c r="G318" i="121" s="1"/>
  <c r="G278" i="121"/>
  <c r="C11" i="135" s="1"/>
  <c r="E11" i="135" s="1"/>
  <c r="G47" i="121"/>
  <c r="G46" i="121" s="1"/>
  <c r="G160" i="121"/>
  <c r="G159" i="121" s="1"/>
  <c r="G158" i="121" s="1"/>
  <c r="G157" i="121" s="1"/>
  <c r="G176" i="121"/>
  <c r="G175" i="121" s="1"/>
  <c r="G174" i="121" s="1"/>
  <c r="G116" i="121"/>
  <c r="G91" i="121"/>
  <c r="G90" i="121" s="1"/>
  <c r="G89" i="121" s="1"/>
  <c r="G88" i="121" s="1"/>
  <c r="G213" i="121"/>
  <c r="G212" i="121" s="1"/>
  <c r="G211" i="121" s="1"/>
  <c r="F64" i="131" l="1"/>
  <c r="G191" i="121"/>
  <c r="G133" i="121"/>
  <c r="G132" i="121" s="1"/>
  <c r="G130" i="121" s="1"/>
  <c r="C6" i="135" s="1"/>
  <c r="E6" i="135" s="1"/>
  <c r="G258" i="121"/>
  <c r="G257" i="121" s="1"/>
  <c r="G115" i="121"/>
  <c r="G114" i="121" s="1"/>
  <c r="G294" i="121"/>
  <c r="G293" i="121" s="1"/>
  <c r="G87" i="121"/>
  <c r="F29" i="131" l="1"/>
  <c r="C10" i="135"/>
  <c r="E10" i="135" s="1"/>
  <c r="G113" i="121"/>
  <c r="G173" i="121"/>
  <c r="C7" i="135" s="1"/>
  <c r="E7" i="135" s="1"/>
  <c r="F28" i="131" l="1"/>
  <c r="A53" i="133" s="1"/>
  <c r="G106" i="121"/>
  <c r="G86" i="121" s="1"/>
  <c r="C5" i="135" s="1"/>
  <c r="E5" i="135" s="1"/>
  <c r="G256" i="121"/>
  <c r="G255" i="121" s="1"/>
  <c r="C9" i="135" s="1"/>
  <c r="E9" i="135" s="1"/>
  <c r="G25" i="121" l="1"/>
  <c r="G24" i="121" s="1"/>
  <c r="C11" i="132" s="1"/>
  <c r="D11" i="133" l="1"/>
  <c r="G23" i="121"/>
  <c r="C8" i="132"/>
  <c r="G22" i="121" l="1"/>
  <c r="G21" i="121" s="1"/>
  <c r="C3" i="135"/>
  <c r="A54" i="133"/>
  <c r="B3" i="134" l="1"/>
  <c r="B4" i="134" s="1"/>
  <c r="C29" i="107"/>
  <c r="B2" i="133"/>
  <c r="C2" i="135"/>
  <c r="D3" i="135" s="1"/>
  <c r="E3" i="135"/>
  <c r="I155" i="121"/>
  <c r="I154" i="121" s="1"/>
  <c r="H150" i="131"/>
  <c r="H149" i="131" s="1"/>
  <c r="H148" i="131" s="1"/>
  <c r="H47" i="126"/>
  <c r="H46" i="126" s="1"/>
  <c r="H44" i="126" s="1"/>
  <c r="H43" i="126" s="1"/>
  <c r="H42" i="126" s="1"/>
  <c r="I153" i="121"/>
  <c r="H24" i="126" l="1"/>
  <c r="H23" i="126" s="1"/>
  <c r="C28" i="107"/>
  <c r="B3" i="133" s="1"/>
  <c r="D6" i="135"/>
  <c r="D5" i="135"/>
  <c r="D8" i="135"/>
  <c r="D7" i="135"/>
  <c r="D4" i="135"/>
  <c r="D10" i="135"/>
  <c r="E2" i="135"/>
  <c r="D11" i="135"/>
  <c r="D9" i="135"/>
  <c r="H147" i="131"/>
  <c r="H146" i="131"/>
  <c r="H145" i="131" s="1"/>
  <c r="H121" i="131" s="1"/>
  <c r="H29" i="131" s="1"/>
  <c r="I152" i="121"/>
  <c r="H28" i="131" l="1"/>
  <c r="I133" i="121"/>
  <c r="I132" i="121" s="1"/>
  <c r="I130" i="121" s="1"/>
  <c r="I22" i="121" s="1"/>
  <c r="I21" i="121" s="1"/>
  <c r="K20" i="140" l="1"/>
  <c r="L285" i="140" s="1"/>
  <c r="E29" i="107"/>
  <c r="L270" i="140"/>
  <c r="L252" i="140"/>
  <c r="L237" i="140"/>
  <c r="L22" i="140"/>
  <c r="L170" i="140"/>
  <c r="L127" i="140"/>
  <c r="L85" i="140"/>
  <c r="L75" i="140"/>
  <c r="D3" i="134"/>
  <c r="D4" i="134" s="1"/>
  <c r="F6" i="133"/>
  <c r="G135" i="131"/>
  <c r="G134" i="131" s="1"/>
  <c r="G133" i="131" s="1"/>
  <c r="G132" i="131" s="1"/>
  <c r="G123" i="131" s="1"/>
  <c r="G122" i="131" s="1"/>
  <c r="G121" i="131" s="1"/>
  <c r="G29" i="131" s="1"/>
  <c r="G28" i="131" s="1"/>
  <c r="G35" i="126"/>
  <c r="G34" i="126" s="1"/>
  <c r="G32" i="126" s="1"/>
  <c r="G26" i="126" s="1"/>
  <c r="G25" i="126" s="1"/>
  <c r="G24" i="126" s="1"/>
  <c r="G23" i="126" s="1"/>
  <c r="H146" i="121"/>
  <c r="H145" i="121" s="1"/>
  <c r="H135" i="121" s="1"/>
  <c r="H134" i="121" s="1"/>
  <c r="H133" i="121" s="1"/>
  <c r="H132" i="121" s="1"/>
  <c r="H130" i="121" s="1"/>
  <c r="H22" i="121" s="1"/>
  <c r="H21" i="121" s="1"/>
  <c r="D29" i="107" s="1"/>
  <c r="E28" i="107" l="1"/>
  <c r="D7" i="133" s="1"/>
  <c r="C3" i="134"/>
  <c r="C4" i="134" s="1"/>
  <c r="B6" i="133"/>
  <c r="D28" i="107" l="1"/>
  <c r="B7" i="1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adm-zakaz</author>
  </authors>
  <commentList>
    <comment ref="C2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данные дефицита указываем с "+", профицит не показываем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adm-zakaz</author>
  </authors>
  <commentList>
    <comment ref="B65" authorId="0" shapeId="0" xr:uid="{534FB30C-3E3B-44DD-ACFF-D1B53AD27344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название в 65н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adm-zakaz</author>
  </authors>
  <commentList>
    <comment ref="C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данные дефицита указываем с "+", профицит не показываем</t>
        </r>
      </text>
    </comment>
    <comment ref="D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данные дефицита указываем с "+", профицит не показываем</t>
        </r>
      </text>
    </comment>
    <comment ref="E24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данные дефицита указываем с "+", профицит не показываем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adm-zakaz</author>
  </authors>
  <commentList>
    <comment ref="B57" authorId="0" shapeId="0" xr:uid="{2AD4DF5D-8FB6-474E-A8BC-8FA61B19F8B9}">
      <text>
        <r>
          <rPr>
            <b/>
            <sz val="9"/>
            <color indexed="81"/>
            <rFont val="Tahoma"/>
            <family val="2"/>
            <charset val="204"/>
          </rPr>
          <t>adm-zakaz:</t>
        </r>
        <r>
          <rPr>
            <sz val="9"/>
            <color indexed="81"/>
            <rFont val="Tahoma"/>
            <family val="2"/>
            <charset val="204"/>
          </rPr>
          <t xml:space="preserve">
название в 65н</t>
        </r>
      </text>
    </comment>
  </commentList>
</comments>
</file>

<file path=xl/sharedStrings.xml><?xml version="1.0" encoding="utf-8"?>
<sst xmlns="http://schemas.openxmlformats.org/spreadsheetml/2006/main" count="6155" uniqueCount="544">
  <si>
    <t>Наименование</t>
  </si>
  <si>
    <t>ВСЕГО</t>
  </si>
  <si>
    <t>Иные межбюджетные трансферты</t>
  </si>
  <si>
    <t>Ленинградской области</t>
  </si>
  <si>
    <t>540</t>
  </si>
  <si>
    <t xml:space="preserve">ЦСР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</si>
  <si>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</si>
  <si>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 бюджету района из бюджетов поселений на осуществление полномочий по внешнему муниципальному финансовому контролю</t>
  </si>
  <si>
    <t>014</t>
  </si>
  <si>
    <t>Никольского городского поселения</t>
  </si>
  <si>
    <t>Руководство и управление в сфере установленных функций органов государственной власти субъекта Российской Федерации и органов местного самоуправления</t>
  </si>
  <si>
    <t>91 0 00 00000</t>
  </si>
  <si>
    <t>91 3 00 00000</t>
  </si>
  <si>
    <t>Непрограммные расходы</t>
  </si>
  <si>
    <t>91 3 01 00000</t>
  </si>
  <si>
    <t>91 3 01 60600</t>
  </si>
  <si>
    <t>91 3 01 60640</t>
  </si>
  <si>
    <t xml:space="preserve">Иные межбюджетные трансферты бюджету района из бюджетов поселений на осуществление отдельных полномочий по формированию архивных фондов </t>
  </si>
  <si>
    <t>91 3 01 60650</t>
  </si>
  <si>
    <t xml:space="preserve">ВР </t>
  </si>
  <si>
    <t xml:space="preserve">Рз </t>
  </si>
  <si>
    <t>ПР</t>
  </si>
  <si>
    <t>Сумма (тысяч рублей)</t>
  </si>
  <si>
    <t>Всего</t>
  </si>
  <si>
    <t>Итого программные расходы</t>
  </si>
  <si>
    <t>04 0 00 00000</t>
  </si>
  <si>
    <t xml:space="preserve">Расходы на обеспечение деятельности муниципальных казенных учреждений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</si>
  <si>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</si>
  <si>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Физическая культура</t>
  </si>
  <si>
    <t>11</t>
  </si>
  <si>
    <t>01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</si>
  <si>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</si>
  <si>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</si>
  <si>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</si>
  <si>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Мероприятия по организации и проведению физкультурных спортивно-массовых мероприятий </t>
  </si>
  <si>
    <t>Другие вопросы в области национальной экономики</t>
  </si>
  <si>
    <t>04</t>
  </si>
  <si>
    <t>12</t>
  </si>
  <si>
    <t>06 0 00 00000</t>
  </si>
  <si>
    <t>Социальное обеспечение и иные выплаты населению</t>
  </si>
  <si>
    <t>03</t>
  </si>
  <si>
    <t>07 0 00 00000</t>
  </si>
  <si>
    <t xml:space="preserve">Организация отдыха и оздоровления детей и подростков </t>
  </si>
  <si>
    <t>07</t>
  </si>
  <si>
    <t xml:space="preserve">Мероприятия в сфере молодежной политики </t>
  </si>
  <si>
    <t>Культура</t>
  </si>
  <si>
    <t>08</t>
  </si>
  <si>
    <t>Организация и проведение мероприятий в сфере культуры</t>
  </si>
  <si>
    <t>08 0 00 00000</t>
  </si>
  <si>
    <t>09</t>
  </si>
  <si>
    <t xml:space="preserve">Мероприятия в области пожарной безопасности  </t>
  </si>
  <si>
    <t>10 0 00 00000</t>
  </si>
  <si>
    <t xml:space="preserve">Мероприятия по содержанию автомобильных дорог </t>
  </si>
  <si>
    <t>Дорожное хозяйство (дорожные фонды)</t>
  </si>
  <si>
    <t xml:space="preserve">Организация и проведение мероприятий, направленных на повышение безопасности дорожного движения </t>
  </si>
  <si>
    <t>11 0 00 00000</t>
  </si>
  <si>
    <t>Коммунальное хозяйство</t>
  </si>
  <si>
    <t>05</t>
  </si>
  <si>
    <t>02</t>
  </si>
  <si>
    <t xml:space="preserve">Мероприятия по обслуживанию объектов газификации </t>
  </si>
  <si>
    <t>12 0 00 00000</t>
  </si>
  <si>
    <t>Благоустройство</t>
  </si>
  <si>
    <t>14 0 00 00000</t>
  </si>
  <si>
    <t>Мероприятия по повышению надежности и энергетической эффективности</t>
  </si>
  <si>
    <t>27 0 00 00000</t>
  </si>
  <si>
    <t>Закупка товаров, 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</si>
  <si>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</si>
  <si>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</si>
  <si>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</si>
  <si>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Итого непрограммные расходы</t>
  </si>
  <si>
    <t>Обеспечение функций органов местного самоуправления</t>
  </si>
  <si>
    <t>91 3 01 00040</t>
  </si>
  <si>
    <t>100</t>
  </si>
  <si>
    <t>расходы на выплаты персоналу государственных (муниципальных) органов</t>
  </si>
  <si>
    <t>120</t>
  </si>
  <si>
    <t>800</t>
  </si>
  <si>
    <t>уплата налогов, сборов и иных платежей</t>
  </si>
  <si>
    <t>850</t>
  </si>
  <si>
    <t>500</t>
  </si>
  <si>
    <t>иные межбюджетные трансферты</t>
  </si>
  <si>
    <t xml:space="preserve">Иные межбюджетные трансферты бюджету района из бюджетов поселений на осуществление отдельных полномочий по исполнению бюджета </t>
  </si>
  <si>
    <t>06</t>
  </si>
  <si>
    <t>91 8 00 00000</t>
  </si>
  <si>
    <t>91 8 01 00000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</si>
  <si>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</si>
  <si>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91 8 01 00080</t>
  </si>
  <si>
    <t>Реализация государственных функций, связанных с общегосударственным управлением</t>
  </si>
  <si>
    <t>92 0 00 00000</t>
  </si>
  <si>
    <t>92 9 00 00000</t>
  </si>
  <si>
    <t>92 9 01 00000</t>
  </si>
  <si>
    <t>Выполнение других обязательств муниципальных образований</t>
  </si>
  <si>
    <t>92 9 01 00030</t>
  </si>
  <si>
    <t>Другие общегосударственные вопросы</t>
  </si>
  <si>
    <t>13</t>
  </si>
  <si>
    <t>99 0 00 00000</t>
  </si>
  <si>
    <t>99 9 00 00000</t>
  </si>
  <si>
    <t>99 9 01 00000</t>
  </si>
  <si>
    <t>99 9 01 10050</t>
  </si>
  <si>
    <t>резервные средства</t>
  </si>
  <si>
    <t>870</t>
  </si>
  <si>
    <t>Резервные фонды</t>
  </si>
  <si>
    <t>99 9 01 51180</t>
  </si>
  <si>
    <t>Мобилизационная и вневойсковая подготовка</t>
  </si>
  <si>
    <t>Мероприятия по землеустройству и землепользованию</t>
  </si>
  <si>
    <t>99 9 01 10350</t>
  </si>
  <si>
    <t>Мероприятия в области национальной экономики</t>
  </si>
  <si>
    <t>99 9 01 10360</t>
  </si>
  <si>
    <t>Мероприятия в области строительства, архитектуры и градостроительства</t>
  </si>
  <si>
    <t>99 9 01 10400</t>
  </si>
  <si>
    <t>99 9 01 96010</t>
  </si>
  <si>
    <t>Жилищное хозяйство</t>
  </si>
  <si>
    <t>Мероприятия в области жилищного хозяйства</t>
  </si>
  <si>
    <t>99 9 01 13770</t>
  </si>
  <si>
    <t>Доплаты к пенсиям муниципальных служащих</t>
  </si>
  <si>
    <t>99 9 01 03080</t>
  </si>
  <si>
    <t>300</t>
  </si>
  <si>
    <t>320</t>
  </si>
  <si>
    <t>Пенсионное обеспечение</t>
  </si>
  <si>
    <t>10</t>
  </si>
  <si>
    <t xml:space="preserve">ПР </t>
  </si>
  <si>
    <t>Общегосударственные вопросы</t>
  </si>
  <si>
    <t xml:space="preserve">91 3 01 00040 </t>
  </si>
  <si>
    <t>Иные межбюджетные трансферты бюджету района из бюджетов поселений на осуществление отдельных полномочий по формированию архивных фондов</t>
  </si>
  <si>
    <t>Межбюджетные трансферты</t>
  </si>
  <si>
    <t xml:space="preserve">91 3 01 60600 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</si>
  <si>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</si>
  <si>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</si>
  <si>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</si>
  <si>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</si>
  <si>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</si>
  <si>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 xml:space="preserve">Обеспечение мероприятий по капитальному ремонту многоквартирных домов </t>
  </si>
  <si>
    <t>Образование</t>
  </si>
  <si>
    <t>Культура и кинематография</t>
  </si>
  <si>
    <t>расходы на выплаты персоналу казенных учреждений</t>
  </si>
  <si>
    <t>110</t>
  </si>
  <si>
    <t>социальные выплаты гражданам, кроме публичных нормативных социальных выплат</t>
  </si>
  <si>
    <t>Физическая культура и спорт</t>
  </si>
  <si>
    <t xml:space="preserve">800                                                          </t>
  </si>
  <si>
    <t>код гл. расп.</t>
  </si>
  <si>
    <t>91 1 00 00000</t>
  </si>
  <si>
    <t>91 1 01 00000</t>
  </si>
  <si>
    <t>91 1 01 00030</t>
  </si>
  <si>
    <t>042</t>
  </si>
  <si>
    <t>91 3 01 71330</t>
  </si>
  <si>
    <t>Другие вопросы в области национальной безопасности и правоохранительной деятельности</t>
  </si>
  <si>
    <t>14</t>
  </si>
  <si>
    <t xml:space="preserve"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</t>
  </si>
  <si>
    <t>91 3 01 71340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</si>
  <si>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</si>
  <si>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</si>
  <si>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Молодежная политика </t>
  </si>
  <si>
    <t>830</t>
  </si>
  <si>
    <t xml:space="preserve"> исполнение судебных актов</t>
  </si>
  <si>
    <t>Реализация программ формирования современной городской среды</t>
  </si>
  <si>
    <t xml:space="preserve">Иные межбюджетные трансферты бюджету района из бюджетов поселений на исполнение части  полномочий по решению вопросов местного значения по организации ритуальных услуг и содержанию мест захоронения на территории </t>
  </si>
  <si>
    <t>ПРОГНОЗИРУЕМЫЕ</t>
  </si>
  <si>
    <t xml:space="preserve">поступления налоговых, неналоговых доходов и безвозмездных поступлений </t>
  </si>
  <si>
    <t>Код бюджетной классификации</t>
  </si>
  <si>
    <t>Источники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</si>
  <si>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</si>
  <si>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</si>
  <si>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</si>
  <si>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</si>
  <si>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</si>
  <si>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 xml:space="preserve">Налог на доходы физических лиц 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</si>
  <si>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</si>
  <si>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</si>
  <si>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</si>
  <si>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</si>
  <si>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</si>
  <si>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</si>
  <si>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</si>
  <si>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</si>
  <si>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1 06 06000 00 0000 110</t>
  </si>
  <si>
    <t>Земельный налог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</si>
  <si>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</si>
  <si>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</si>
  <si>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</si>
  <si>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</si>
  <si>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</si>
  <si>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</si>
  <si>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</si>
  <si>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</si>
  <si>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</si>
  <si>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1 13 01995 13 0000 130</t>
  </si>
  <si>
    <t>Прочие доходы от оказания платных услуг (работ) получателями средств бюджетов городских поселений</t>
  </si>
  <si>
    <t>1 13 02995 13 0000 130</t>
  </si>
  <si>
    <t>Прочие доходы от компенсации затрат бюджетов городских поселений</t>
  </si>
  <si>
    <t>1 14 00000 00 0000 000</t>
  </si>
  <si>
    <t>ДОХОДЫ  ОТ ПРОДАЖИ МАТЕРИАЛЬНЫХ И НЕМАТЕРИАЛЬНЫХ АКТИВОВ</t>
  </si>
  <si>
    <t>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</si>
  <si>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</si>
  <si>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1 14 06025 13 0000 430
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</si>
  <si>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</si>
  <si>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</si>
  <si>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</si>
  <si>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2 00 00000 00 0000 000</t>
  </si>
  <si>
    <t>БЕЗВОЗМЕЗДНЫЕ ПОСТУПЛЕНИЯ</t>
  </si>
  <si>
    <t>2 02 00000 00 0000 000</t>
  </si>
  <si>
    <t>Дотации бюджетам бюджетной системы Российской Федерации</t>
  </si>
  <si>
    <t>2 02 19999 13 0000 150</t>
  </si>
  <si>
    <t>Дотации бюджетам муниципальных образований Ленинградской области на поощрение достижения наилучших показателей оценки качества управления муниципальными финансами</t>
  </si>
  <si>
    <t>2 02 20000 00 0000 150</t>
  </si>
  <si>
    <t>Субсидии бюджетам бюджетной системы Российской Федерации (межбюджетные субсидии)</t>
  </si>
  <si>
    <t xml:space="preserve">2 02 20077 13 0000 150 </t>
  </si>
  <si>
    <t xml:space="preserve">2 02 20216 13 0000 150 </t>
  </si>
  <si>
    <t>2 02 25555 13 0000 150</t>
  </si>
  <si>
    <t>2 02 29999 13 0000 150</t>
  </si>
  <si>
    <t>2 02 30000 00 0000 150</t>
  </si>
  <si>
    <t>Субвенции бюджетам бюджетной системы Российской Федерации</t>
  </si>
  <si>
    <t>2 02 35118 13 0000 150</t>
  </si>
  <si>
    <t>2 02 30024 13 0000 150</t>
  </si>
  <si>
    <t>2 02 25497 13 0000 150</t>
  </si>
  <si>
    <t>99 9 01 60670</t>
  </si>
  <si>
    <t>Охрана семьи и детства</t>
  </si>
  <si>
    <t>Сельское хозяйство и рыболовство</t>
  </si>
  <si>
    <t>Прочие субсидии бюджетам городских поселений  (поддержка развития общественной инфраструктуры муниципального значения)</t>
  </si>
  <si>
    <t>2 02 16001 13 0000 150</t>
  </si>
  <si>
    <t>Социальная политика</t>
  </si>
  <si>
    <t>Код</t>
  </si>
  <si>
    <t>Прочие субсидии бюджетам городских поселений  (субсидии бюджетам муниципальных образований Ленинградской области на реализацию комплекса мероприятий по борьбе с борщевиком Сосновского на территориях муниципальных образований Ленинградской области)</t>
  </si>
  <si>
    <t>Субсидии бюджетам городских поселений на реализацию мероприятий по обеспечению жильем молодых семей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</si>
  <si>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 (на капитальный ремонт и ремонт автомобильных дорог общего пользования местного значения, имеющих приоритетный социально значимый характер)</t>
  </si>
  <si>
    <t xml:space="preserve">2 02 45393 13 0000 150 </t>
  </si>
  <si>
    <t>Межбюджетные трансферты, передаваемые бюджетам городских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</si>
  <si>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2 02 40000 00 0000 150</t>
  </si>
  <si>
    <t>Субсидии бюджетам городских поселений на софинансирование капитальных вложений в объекты муниципальной собственности (субсидии на 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образований)</t>
  </si>
  <si>
    <t xml:space="preserve">Приложение №1                                   </t>
  </si>
  <si>
    <t>014 01 00 00 00 00 0000 000</t>
  </si>
  <si>
    <t>Изменение остатков средств на счетах по учету средств бюджетов</t>
  </si>
  <si>
    <t>014 01 05 00 00 00 0000 000</t>
  </si>
  <si>
    <t>Приложение №6</t>
  </si>
  <si>
    <t>Комплекс процессных мероприятий</t>
  </si>
  <si>
    <t>07 4 00 00000</t>
  </si>
  <si>
    <t>Комплекс процессных мероприятий "Обеспечение отдыха, оздоровления, занятости детей, подростков и молодежи"</t>
  </si>
  <si>
    <t>07 4 01 00000</t>
  </si>
  <si>
    <t>07 4 01 12290</t>
  </si>
  <si>
    <t>Комплекс процессных мероприятий "Организация и проведение молодежных массовых мероприятий"</t>
  </si>
  <si>
    <t>07 4 02 00000</t>
  </si>
  <si>
    <t>07 4 02 11680</t>
  </si>
  <si>
    <t>Комплекс процессных мероприятий  "Развитие культуры на территории поселения"</t>
  </si>
  <si>
    <t>07 4 04 00000</t>
  </si>
  <si>
    <t>07 4 04 00160</t>
  </si>
  <si>
    <t>07 4 04 S0360</t>
  </si>
  <si>
    <t>07 4 04 11220</t>
  </si>
  <si>
    <t>08 4 00 00000</t>
  </si>
  <si>
    <t>Комплекс процессных мероприятий "Защита населения и территорий, предупреждение и ликвидация последствий чрезвычайных ситуаций природного и техногенного характера"</t>
  </si>
  <si>
    <t>08 4 01 00000</t>
  </si>
  <si>
    <t>08 4 01 11570</t>
  </si>
  <si>
    <t>08 4 02 00000</t>
  </si>
  <si>
    <t>08 4 02 11620</t>
  </si>
  <si>
    <t>10 4 00 00000</t>
  </si>
  <si>
    <t>Комплекс процессных мероприятий  "Содержание,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расположенных на территории"</t>
  </si>
  <si>
    <t>10 4 01 00000</t>
  </si>
  <si>
    <t>10 4 01 10100</t>
  </si>
  <si>
    <t>10 4 01 10110</t>
  </si>
  <si>
    <t>Обеспечение  мероприятий по капитальному ремонту и ремонту автомобильных дорог общего пользования местного значения</t>
  </si>
  <si>
    <t>10 4 01 10130</t>
  </si>
  <si>
    <t>Комплекс процессных мероприятий "Организация газоснабжения"</t>
  </si>
  <si>
    <t>11 4 01 00000</t>
  </si>
  <si>
    <t>11 4 00 00000</t>
  </si>
  <si>
    <t>11 4 01 13200</t>
  </si>
  <si>
    <t>12 4 00 00000</t>
  </si>
  <si>
    <t>Комплекс процессных мероприятий "Осуществление мероприятий по содержанию (в том числе проектно-изыскательские работы) и развитию объектов благоустройства территории"</t>
  </si>
  <si>
    <t>12 4 01 00000</t>
  </si>
  <si>
    <t>12 4 01 13280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</si>
  <si>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</si>
  <si>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12 4 01 S4840</t>
  </si>
  <si>
    <t>Комплекс процессных мероприятий "Реализация функций в сфере обращения с отходами"</t>
  </si>
  <si>
    <t>Мероприятия по организации сбора и вывоза бытовых отходов</t>
  </si>
  <si>
    <t>12 4 02 00000</t>
  </si>
  <si>
    <t>12 4 02 13320</t>
  </si>
  <si>
    <t>14 4 00 00000</t>
  </si>
  <si>
    <t>14 4 01 00000</t>
  </si>
  <si>
    <t>14 4 01 13180</t>
  </si>
  <si>
    <t>19 4 00 00000</t>
  </si>
  <si>
    <t>19 4 01 00000</t>
  </si>
  <si>
    <t>Обеспечение мероприятий по созданию мест (площадок) накопления твердых коммунальных отходов</t>
  </si>
  <si>
    <t>19 4 01 14790</t>
  </si>
  <si>
    <t>04 4 00 00000</t>
  </si>
  <si>
    <t>Комплекс процессных мероприятий "Развитие физической культуры и спорта"</t>
  </si>
  <si>
    <t>04 4 01 00000</t>
  </si>
  <si>
    <t>04 4 01 00160</t>
  </si>
  <si>
    <t>04 4 01 13300</t>
  </si>
  <si>
    <t>Прочие субсидии бюджетам городских поселений (субсидии на проведение кадастровых работ по образованию земельных участков из состава земель сельскохозяйственного назначения (конкурсные)</t>
  </si>
  <si>
    <t xml:space="preserve">к  решению совета депутатов             </t>
  </si>
  <si>
    <t>Комплекс процессных мероприятий "Мероприятия по оптимизации мер профилактики правонарушений"</t>
  </si>
  <si>
    <t>10 4 02 00000</t>
  </si>
  <si>
    <t>10 4 02 13530</t>
  </si>
  <si>
    <t>Организация и проведение мероприятий, направленных на повышение безопасности дорожного движения</t>
  </si>
  <si>
    <t>37 0 00 00000</t>
  </si>
  <si>
    <t>37 4 00 00000</t>
  </si>
  <si>
    <t>37 4 01 00000</t>
  </si>
  <si>
    <t>37 4 01 14890</t>
  </si>
  <si>
    <t>Обеспечение содействия эффективному развитию сферы межнациональных и межконфессиональных отношений в Никольском городском поселении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</si>
  <si>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</si>
  <si>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образования</t>
  </si>
  <si>
    <t>Молодежная политика</t>
  </si>
  <si>
    <t>25 4 00 00000</t>
  </si>
  <si>
    <t>Комплекс процессных мероприятий "Реализация мероприятий по борьбе с борщевиком Сосновского"</t>
  </si>
  <si>
    <t>25 4 01 00000</t>
  </si>
  <si>
    <t>25 4 01 14310</t>
  </si>
  <si>
    <t>Мероприятия по борьбе с борщевиком Сосновского</t>
  </si>
  <si>
    <t xml:space="preserve">Мероприятия по капитальному ремонту и ремонту дворовых территорий многоквартирных домов, проездов к дворовым территориям многоквартирных домов, расположенных на территории поселения </t>
  </si>
  <si>
    <t>Наименование передаваемых полномочий</t>
  </si>
  <si>
    <t>Рз раздел</t>
  </si>
  <si>
    <t>ПР подраздел</t>
  </si>
  <si>
    <t>ВР вид расхода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</si>
  <si>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</si>
  <si>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0100</t>
  </si>
  <si>
    <t>0104</t>
  </si>
  <si>
    <t xml:space="preserve">0100 </t>
  </si>
  <si>
    <t>Иные межбюджетные трансферты бюджету района из бюджетов поселений на осуществление отдельных полномочий по исполнению бюджета</t>
  </si>
  <si>
    <t>0106</t>
  </si>
  <si>
    <t>0400</t>
  </si>
  <si>
    <t>0412</t>
  </si>
  <si>
    <t>ИТОГО</t>
  </si>
  <si>
    <t>2026 год</t>
  </si>
  <si>
    <t>Региональный  проект "Формирование комфортной городской среды"</t>
  </si>
  <si>
    <t>27 2 00 00000</t>
  </si>
  <si>
    <t>Отраслевой проект "Благоустройство сельских территорий"</t>
  </si>
  <si>
    <t>25 7 00 00000</t>
  </si>
  <si>
    <t>25 7 01 00000</t>
  </si>
  <si>
    <t>25 7 01 S4310</t>
  </si>
  <si>
    <t>Региональный проект "Формирование комфортной городской среды"</t>
  </si>
  <si>
    <t>Мероприятия в сфере управления и распоряжения муниципальным имуществом</t>
  </si>
  <si>
    <t>92 9 01 13790</t>
  </si>
  <si>
    <t>04 7 00 00000</t>
  </si>
  <si>
    <t>04 7 01 00000</t>
  </si>
  <si>
    <t>04 7 01 S4060</t>
  </si>
  <si>
    <t>Реализация мероприятий по капитальному ремонту объектов физической культуры и спорта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</si>
  <si>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</si>
  <si>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Отраслевой проект " Развитие физической культуры и спорта"</t>
  </si>
  <si>
    <t>19 0 00 00000</t>
  </si>
  <si>
    <t>25 0 00 00000</t>
  </si>
  <si>
    <t>Расходы на обеспечение деятельности муниципальных казенных учреждений</t>
  </si>
  <si>
    <t xml:space="preserve"> </t>
  </si>
  <si>
    <t>Массовый Спорт</t>
  </si>
  <si>
    <t>06 7 00 00000</t>
  </si>
  <si>
    <t>Отраслевой проект "Улучшение жилищных условий и обеспечение жильем отдельных категорий граждан"</t>
  </si>
  <si>
    <t>Мероприятия  по обеспечению жильем молодых семей</t>
  </si>
  <si>
    <t>06 7 01 L4970</t>
  </si>
  <si>
    <t>06 7 01 00000</t>
  </si>
  <si>
    <t>2027 год</t>
  </si>
  <si>
    <t xml:space="preserve">Приложение №5                                   </t>
  </si>
  <si>
    <t xml:space="preserve">Источники формирования дорожного фонда </t>
  </si>
  <si>
    <t>182 1 03 02000 01 0000 110</t>
  </si>
  <si>
    <t>014 2 02 20216 13 0000 150</t>
  </si>
  <si>
    <t>Итого</t>
  </si>
  <si>
    <t>Прочие субсидии бюджетам городских поселений  (субсидия на реализацию областного закона от 16.02.2024 № 10-оз «О содействии участию населения в осуществлении местного самоуправления в Ленинградской области»)</t>
  </si>
  <si>
    <t>Комплекс процессных мероприятий "Мероприятия по обеспечению общественного правопорядка и профилактика правонарушений"</t>
  </si>
  <si>
    <t>08 4 03 00000</t>
  </si>
  <si>
    <t>Мероприятия по расширению, обслуживанию и содержанию аппаратно-программного комплекса автоматизированной информационной системы "Безопасный город"</t>
  </si>
  <si>
    <t xml:space="preserve">08 4 03 13430 </t>
  </si>
  <si>
    <t>Муниципальная программа "О содействии участию населения в осуществлении местного самоуправления в Никольском городском поселении Тосненского муниципального района Ленинградской области в рамках областного закона Ленинградской области от 16.02.2024 № 10-оз «О содействии участию населения в осуществлении местного самоуправления в Ленинградской области»</t>
  </si>
  <si>
    <t xml:space="preserve">1 11 05025 13 0000 120
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</si>
  <si>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</si>
  <si>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0300</t>
  </si>
  <si>
    <t>0314</t>
  </si>
  <si>
    <t>99 9 01 60660</t>
  </si>
  <si>
    <r>
      <t xml:space="preserve">Содержание,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расположенных на территории, </t>
    </r>
    <r>
      <rPr>
        <sz val="10"/>
        <color rgb="FFFF0000"/>
        <rFont val="Times New Roman"/>
        <family val="1"/>
        <charset val="204"/>
      </rPr>
      <t>ямочный ремонт</t>
    </r>
  </si>
  <si>
    <t xml:space="preserve">Ремонт дворовой территории </t>
  </si>
  <si>
    <t>Комплекс процессных мероприятий "Содействие участию населения в осуществлении местного самоуправления"</t>
  </si>
  <si>
    <t>42 4 01 S5130</t>
  </si>
  <si>
    <t>42 0 00 00000</t>
  </si>
  <si>
    <t>42 4 00 00000</t>
  </si>
  <si>
    <t>42 4 01 00000</t>
  </si>
  <si>
    <t>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</si>
  <si>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Выполнение работ по ремонту автомобильной дороги по адресу: Ленинградская область, Тосненский район, г. Никольское, ул. Школьная</t>
  </si>
  <si>
    <t>в бюджет Никольского городского поселения Тосненского муниципального  района Ленинградской области</t>
  </si>
  <si>
    <t>Муниципальная программа "Развитие физической культуры и спорта на территории Никольского городского поселения Тосненского муниципального района Ленинградской области"</t>
  </si>
  <si>
    <t>Муниципальная программа "Обеспечение жильем молодых семей, признанных нуждающимися в улучшении жилищных условий в Никольском городском поселении Тосненского муниципального  района Ленинградской области"</t>
  </si>
  <si>
    <t xml:space="preserve">Муниципальная программа "Развитие культуры Никольского городского поселения Тосненского муниципального района Ленинградской области" </t>
  </si>
  <si>
    <t>Муниципальная программа "Безопасность  на территории Никольского городского поселения Тосненского муниципального района Ленинградской области"</t>
  </si>
  <si>
    <t>Муниципальная программа "Устойчивое развитие территории Никольского городского поселения Тосненского муниципального района Ленинградской области"</t>
  </si>
  <si>
    <t>Муниципальная программа "Развитие автомобильных дорог  Никольского городского поселения Тосненского муниципального района Ленинградской области"</t>
  </si>
  <si>
    <t>Муниципальная программа "Газификация территории  Никольского городского поселения Тосненского муниципального района Ленинградской области"</t>
  </si>
  <si>
    <t>Муниципальная программа "Благоустройство территории  Никольского городского поселения Тосненского муниципального района Ленинградской области"</t>
  </si>
  <si>
    <t xml:space="preserve">Мероприятия по содержанию объектов благоустройства территории Никольского городского поселения Тосненского муниципального района Ленинградской области </t>
  </si>
  <si>
    <t>Муниципальная программа "Энергосбережение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области"</t>
  </si>
  <si>
    <t>Комплекс процессных мероприятий "Энергосбережение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области"</t>
  </si>
  <si>
    <t>Муниципальная программа "Создание мест (площадок) накопления твердых коммунальных отходов и реконструкция существующих мест (площадок) накопления твердых коммунальных отходов на территории Никольского городского поселения Тосненского муниципального района Ленинградской области "</t>
  </si>
  <si>
    <t>Муниципальная программа "Борьба с борщевиком Сосновского на территории Никольского городского поселения Тосненского муниципального района Ленинградской области"</t>
  </si>
  <si>
    <t>Реализация комплекса мероприятий по борьбе с борщевиком Сосновского на территории Никольского городского поселения Тосненского муниципального района Ленинградской области</t>
  </si>
  <si>
    <t>Муниципальная программа "Формирование комфортной городской среды на территории Никольского  городского поселения Тосненского муниципального района Ленинградской области"</t>
  </si>
  <si>
    <t xml:space="preserve">Обеспечение деятельности аппаратов органов местного самоуправления Никольского городского поселения Тосненского муниципального района Ленинградской области </t>
  </si>
  <si>
    <t>10 7 00 00000</t>
  </si>
  <si>
    <t>10 7 01 00000</t>
  </si>
  <si>
    <t>10 7 01 SД140</t>
  </si>
  <si>
    <t>Отраслевой проект "Развитие и приведение в нормативное состояние автомобильных дорог общего пользования"</t>
  </si>
  <si>
    <t>Тосненского муниципального района</t>
  </si>
  <si>
    <t>Никольского городского поселения Тосненского муниципального района Ленинградской области</t>
  </si>
  <si>
    <t>Муниципальная программа "Безопасность на территории Никольского городского поселения Тосненского муниципального района Ленинградской области"</t>
  </si>
  <si>
    <t>Муниципальная программа "Развитие автомобильных дорог Никольского городского поселения Тосненского муниципального района Ленинградской области"</t>
  </si>
  <si>
    <t>Муниципальная программа "Благоустройство территории Никольского городского поселения Тосненского муниципального района Ленинградской области"</t>
  </si>
  <si>
    <t>10 4 01 9Д110</t>
  </si>
  <si>
    <t>Муниципальная программа "Газификация территории Никольского городского поселения Тосненского муниципального  района Ленинградской области"</t>
  </si>
  <si>
    <t>Муниципальная программа "Энергосбережение и повышение энергоэффективности на территории Никольского городского поселения Тосненского муниципального  района Ленинградской области "</t>
  </si>
  <si>
    <t xml:space="preserve">Муниципальная программа "Развитие культуры Никольского городского поселения Тосненского муниципального  района Ленинградской области" </t>
  </si>
  <si>
    <t>Муниципальная программа "Обеспечение жильем молодых семей, признанных нуждающимися в улучшении жилищных условий в Никольском городском поселении Тосненского муниципального района Ленинградской области"</t>
  </si>
  <si>
    <t>Совет депутатов Никольского городского поселения Тосненского муниципального района Ленинградской области</t>
  </si>
  <si>
    <t>Непрограммные расходы органов исполнительной власти Никольского городского поселения Тосненского муниципального района Ленинградской области</t>
  </si>
  <si>
    <t xml:space="preserve">Непрограммные расходы органов исполнительной власти Никольского городского поселения Тосненского муниципального района Ленинградской области </t>
  </si>
  <si>
    <t xml:space="preserve">Обеспечение деятельности аппаратов органов местного самоуправления Никольского городского поселения Тосненского муниципального района Ленинградско области </t>
  </si>
  <si>
    <t>Непрограммные расходы органов исполнительной власти Никольского городского поселенияТосненского муниципального района Ленинградской области</t>
  </si>
  <si>
    <t>Функционирование  законодательных (представительных) органов государственной власти и представительных органов муниципальных образований</t>
  </si>
  <si>
    <t xml:space="preserve">Непрограммные расходы </t>
  </si>
  <si>
    <t>Расходы на выплаты персоналу 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</si>
  <si>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деятельности аппаратов органов местного самоуправления  Никольского городского поселения Тосненского муниципального района Ленинградской области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</si>
  <si>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</si>
  <si>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Отраслевые проекты</t>
  </si>
  <si>
    <t>Мероприятия по капитальному ремонту и ремонту автомобильных дорог общего пользования местного значения, осуществляемые за счет бюджетных ассигнований муниципальных дорожных фондов</t>
  </si>
  <si>
    <t>Капитальный ремонт и  ремонт автомобильных дорог общего пользования местного значения</t>
  </si>
  <si>
    <t>ДОХОДЫ    ОТ    ОКАЗАНИЯ    ПЛАТНЫХ    УСЛУГ  И КОМПЕНСАЦИИ ЗАТРАТ ГОСУДАРСТВА</t>
  </si>
  <si>
    <t xml:space="preserve">Мероприятия по обеспечению предупреждения и ликвидации последствий чрезвычайных ситуаций и стихийных бедствий, безопасности людей на водных объектах, гражданская оборона </t>
  </si>
  <si>
    <t>Осуществление первичного воинского учета органами местного самоуправления поселений, муниципальных и городских округов</t>
  </si>
  <si>
    <t>БЕЗВОЗМЕЗДНЫЕ ПОСТУПЛЕНИЯ ОТ ДРУГИХ БЮДЖЕТОВ БЮДЖЕТНОЙ СИСТЕМЫ РОССИЙСКОЙ ФЕДЕРАЦИИ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</si>
  <si>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</si>
  <si>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Комплекс процессных мероприятий  "Обеспечение пожарной безопасности" </t>
  </si>
  <si>
    <t>Комплекс процессных мероприятий «Гармонизация межнациональных и межконфессиональных отношений на территории Никольского городского поселения Тосненского муниципального района Ленинградской области»</t>
  </si>
  <si>
    <t xml:space="preserve"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профилактики безнадзорности и правонарушений  несовершеннолетних </t>
  </si>
  <si>
    <t>Иные межбюджетные трансферты бюджету района из бюджетов поселений на осуществление отдельных полномочий по решению вопросов местного значения об участии в предупреждении и ликвидации последствий чрезвычайных ситуаций природного и техногенного характера в части организации работы единой дежурно- диспетчерской службы</t>
  </si>
  <si>
    <t>Региональные проекты</t>
  </si>
  <si>
    <t>Источники внутреннего финансирования дефицитов бюджетов</t>
  </si>
  <si>
    <t xml:space="preserve">Резервный фонд местной администрации </t>
  </si>
  <si>
    <t>Резервный фонд местной администрации</t>
  </si>
  <si>
    <t>Администрация Никольского городского поселения Тосненского муниципального района Ленинградской области</t>
  </si>
  <si>
    <t>Сохранение целевых показателей повышения оплаты труда работников 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</si>
  <si>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</si>
  <si>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городских поселений на реализацию программ формирования современной городской среды</t>
  </si>
  <si>
    <t>Cохранение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</si>
  <si>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>Непрограммные расходы органов исполнительной власти муниципального образования Никольское городское поселение Тосненского муниципального района Ленинградской области</t>
  </si>
  <si>
    <t xml:space="preserve">Обеспечение деятельности главы местной администрации Никольского городского поселения Тосненского муниципального района Ленинградской области (исполнительно-распорядительного органа муниципального образования)  </t>
  </si>
  <si>
    <t xml:space="preserve">Комплекс процессных мероприятий </t>
  </si>
  <si>
    <t>от 24.12.2024 №25</t>
  </si>
  <si>
    <t xml:space="preserve">Приложение №2                                   </t>
  </si>
  <si>
    <t xml:space="preserve">Приложение №3                                   </t>
  </si>
  <si>
    <t xml:space="preserve">Приложение №4                              </t>
  </si>
  <si>
    <t xml:space="preserve">Приложение №4                                   </t>
  </si>
  <si>
    <t xml:space="preserve">Приложение №5                              </t>
  </si>
  <si>
    <t xml:space="preserve">Приложение №6                                   </t>
  </si>
  <si>
    <t>Приложение №7</t>
  </si>
  <si>
    <t xml:space="preserve">Приложение №7                                  </t>
  </si>
  <si>
    <t>Дотации бюджетам городских поселений на выравнивание бюджетной обеспеченности из бюджетов муниципальных районов</t>
  </si>
  <si>
    <t>2 02 10000 00 0000 150</t>
  </si>
  <si>
    <t>Сумма
(тысяч рублей)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</si>
  <si>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</si>
  <si>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2 18 00000 00 0000 150</t>
  </si>
  <si>
    <t xml:space="preserve">2 18 60010 13 0000 150 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</si>
  <si>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</si>
  <si>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2 02 49999 13 0000 150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</si>
  <si>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</si>
  <si>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</si>
  <si>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2 18 00000 13 0000 150 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</si>
  <si>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</si>
  <si>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27 2 И4 00000</t>
  </si>
  <si>
    <t>27 2 И4 55550</t>
  </si>
  <si>
    <t>Ремонт автомобильной дороги по адресу: Ленинградская область,  Тосненский район, г.Никольское, участок от подвесного моста в мкр. "Перевоз" до ул. Первомайская; Ремонт автомобильной дороги общего пользования местного значения по адресу: Ленинградская область, Тосненский район, г. Никольское, ул. Пролетарская.</t>
  </si>
  <si>
    <t xml:space="preserve">Источники внутреннего финансирования дефицита бюджета </t>
  </si>
  <si>
    <t xml:space="preserve">Никольского городского поселения Тосненского муниципального района Ленинградской области </t>
  </si>
  <si>
    <t xml:space="preserve">группам и подгруппам видов расходов классификации расходов бюджетов, а также по разделам и подразделам классификации расходов  бюджетов 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</si>
  <si>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</t>
  </si>
  <si>
    <t xml:space="preserve">Ведомственная структура расходов бюджета </t>
  </si>
  <si>
    <t xml:space="preserve">Иные межбюджетные трансферты, передаваемые  </t>
  </si>
  <si>
    <t xml:space="preserve">Распределение бюджетных ассигнований дорожного фонда по целевым статьям </t>
  </si>
  <si>
    <t>(муниципальным программам и непрограммным направлениям деятельности),</t>
  </si>
  <si>
    <t xml:space="preserve">группам и подгруппам видов расходов классификации расходов бюджетов, </t>
  </si>
  <si>
    <t>а также по разделам и подразделам классификации расходов бюджетов</t>
  </si>
  <si>
    <t>350</t>
  </si>
  <si>
    <t>премии и гранты</t>
  </si>
  <si>
    <t>Иные межбюджетные трансферты, передаваемые бюджетам городских и сельских поселений из бюджета Тосненского муниципального района Ленинградской области на поддержку муниципальных образований городских и сельских поселений по увековечиванию памяти погибших при защите Отечества</t>
  </si>
  <si>
    <t>исполнение судебных актов</t>
  </si>
  <si>
    <t>на 2026 год и на плановый период 2027 и 2028 годов</t>
  </si>
  <si>
    <t>2028 год</t>
  </si>
  <si>
    <t xml:space="preserve"> на 2026 год и на плановый период 2027 и 2028 годов</t>
  </si>
  <si>
    <t>Остаток средств дорожного фонда на 01.01.2026</t>
  </si>
  <si>
    <t>на 2026 год</t>
  </si>
  <si>
    <t xml:space="preserve">Итого </t>
  </si>
  <si>
    <t>Расходы на содержание органов местного самоуправления всего в т.ч.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</si>
  <si>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</si>
  <si>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r>
      <t>Норматив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расходов на содержание органов местного самоуправления на 2026 год 40,1%</t>
    </r>
  </si>
  <si>
    <t>РАССЧЕТ норматива расходов на содержание органов местного самоуправления на 2026 год 40,1%</t>
  </si>
  <si>
    <t>тыс.руб.</t>
  </si>
  <si>
    <t>тыс. рублей;</t>
  </si>
  <si>
    <t>тыс. рублей.</t>
  </si>
  <si>
    <t>прогнозируемый дефицит бюджета Никольского городского поселения Тосненского муниципального района Ленинградской области в сумме</t>
  </si>
  <si>
    <t>прогнозируемый общий объем доходов бюджета Никольского городского поселения Тосненского муниципального района Ленинградской области в сумме</t>
  </si>
  <si>
    <t>общий объем расходов бюджета Никольского городского поселения Тосненского муниципального района Ленинградской области в сумме</t>
  </si>
  <si>
    <t xml:space="preserve">тыс. рублей; на 2028 год в сумме </t>
  </si>
  <si>
    <t>прогнозируемый общий объем доходов бюджета Никольского городского поселения Тосненского муниципального района Ленинградской области на 2027 год в сумме</t>
  </si>
  <si>
    <t xml:space="preserve">прогнозируемый дефицит бюджета Никольского городского поселения Тосненского муниципального района Ленинградской области на 2027 год в сумме </t>
  </si>
  <si>
    <t xml:space="preserve">общий объем расходов бюджета Никольского городского поселения Тосненского муниципального района Ленинградской области на 2027 год в сумме </t>
  </si>
  <si>
    <t xml:space="preserve"> тыс. рублей, в том числе условно утвержденные расходы в сумме </t>
  </si>
  <si>
    <t>тыс. рублей, в том числе условно утвержденные расходы в сумме</t>
  </si>
  <si>
    <t xml:space="preserve"> тыс. рублей;</t>
  </si>
  <si>
    <t>условно утвержденные расходы</t>
  </si>
  <si>
    <t>Доходы бюджета</t>
  </si>
  <si>
    <t>Расходы бюджета</t>
  </si>
  <si>
    <t>Дефицит бюджета</t>
  </si>
  <si>
    <t>Наименование показателя</t>
  </si>
  <si>
    <r>
      <t xml:space="preserve">Утверждено на 2025 год </t>
    </r>
    <r>
      <rPr>
        <sz val="12"/>
        <rFont val="Times New Roman"/>
        <family val="1"/>
        <charset val="204"/>
      </rPr>
      <t>(по состоянию на 01.11.2025)</t>
    </r>
  </si>
  <si>
    <t>Проект бюджета на 2026 год</t>
  </si>
  <si>
    <t>Удельный вес раздела в проекте 2026 года, %</t>
  </si>
  <si>
    <t>2026 к 2025, %</t>
  </si>
  <si>
    <t xml:space="preserve">Расходы: всего (тыс. руб.), в т.ч. по разделам: </t>
  </si>
  <si>
    <t>Культура, кинематография</t>
  </si>
  <si>
    <t>п.10</t>
  </si>
  <si>
    <t>местное самоуправление0104+0314(91кцср)</t>
  </si>
  <si>
    <t>Ремонт автомобильных дорог общего пользования местного значения</t>
  </si>
  <si>
    <t xml:space="preserve">из бюджета Никольского городского поселения Тосненского муниципального района Ленинградской области </t>
  </si>
  <si>
    <t xml:space="preserve">в бюджет Тосненского муниципального района Ленинградской области на исполнение части полномочий </t>
  </si>
  <si>
    <t>Прочие субсидии бюджетам городских поселений (субсидии 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07.05.2012 № 597 "О мероприятиях по реализации государственной социальной политики")</t>
  </si>
  <si>
    <t>Субвенции бюджетам городских поселений на выполнение передаваемых полномочий субъектов Российской Федерации (осуществление отдельных государственных полномочий Ленинградской области в сфере профилактики безнадзорности и правонарушений несовершеннолетних)</t>
  </si>
  <si>
    <t xml:space="preserve">Субвенции бюджетам городских поселений на выполнение передаваемых полномочий субъектов Российской Федерации (на осуществление отдельных государственных полномочий Ленинградской области в сфере административных правоотношений) </t>
  </si>
  <si>
    <t>Субсидии бюджетам на материально-техническое обеспечение многофункциональных молодежных центров</t>
  </si>
  <si>
    <t>Субсидии бюджетам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</si>
  <si>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Основные характеристики</t>
  </si>
  <si>
    <t>Программные расходы</t>
  </si>
  <si>
    <t>в т.ч. условно утвержденные</t>
  </si>
  <si>
    <t>уд.вес</t>
  </si>
  <si>
    <t>удельный</t>
  </si>
  <si>
    <t>вес</t>
  </si>
  <si>
    <t>от 25.12.2025 №80</t>
  </si>
  <si>
    <t>от 10.03.2026 №___</t>
  </si>
  <si>
    <t xml:space="preserve">Массовый спорт </t>
  </si>
  <si>
    <t xml:space="preserve">Отраслевой проект </t>
  </si>
  <si>
    <t xml:space="preserve">Отраслевой проект "Развитие физической культуры и спорта" </t>
  </si>
  <si>
    <t xml:space="preserve"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 </t>
  </si>
  <si>
    <t>04 7 01 L1330</t>
  </si>
  <si>
    <t>07 7 00 00000</t>
  </si>
  <si>
    <t>07 7 01 00000</t>
  </si>
  <si>
    <t>07 7 01 S0350</t>
  </si>
  <si>
    <t xml:space="preserve">Отраслевые проекты </t>
  </si>
  <si>
    <t>Отраслевой проект "Развитие инфраструктуры культуры"</t>
  </si>
  <si>
    <t>Капитальный ремонт объектов культуры городских и сельских поселений муниципальных районов, муниципального и городского округов Ленинградской области</t>
  </si>
  <si>
    <t xml:space="preserve">Отраслевой проект "Развитие инфраструктуры культуры" </t>
  </si>
  <si>
    <t>Муниципальная программа "О содействии участию населения в осуществлении местного самоуправления в Никольском городском поселении Тосненского муниципального района Ленинградской области в рамках областного закона Ленинградской области от 16.02.2024 № 10-оз «О содействии участию населения в осуществлении местного самоуправления в Ленинградской области»"</t>
  </si>
  <si>
    <t>Муниципальная программа "Создание мест (площадок) накопления твердых коммунальных отходов и реконструкция существующих мест (площадок) накопления твердых коммунальных отходов на территории Никольского городского поселения Тосненского муниципального района Ленинградской области"</t>
  </si>
  <si>
    <t>2 02 25133 13 0000 150</t>
  </si>
  <si>
    <t>Субсидии бюджетам городских поселений в целях софинансирования расходных обязательств, возникающих при осуществлении капитального ремонта объектов спортивной инфраструктуры муниципальной собственности</t>
  </si>
  <si>
    <t>Прочие субсидии бюджетам городских поселений (субсидии бюджетам на капитальный ремонт объектов культуры городских поселений, муниципальных районов, муниципального и городского округов Ленинградской области)</t>
  </si>
  <si>
    <t>Прочие субсидии бюджетам городских поселений  (субсидии на реализацию областного закона от 16.02.2024 № 10-оз «О содействии участию населения в осуществлении местного самоуправления в Ленинградской области»)</t>
  </si>
  <si>
    <t>04 7 01 А1330</t>
  </si>
  <si>
    <t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 (доп.средства)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</si>
</sst>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₽&quot;_-;\-* #,##0.00\ &quot;₽&quot;_-;_-* &quot;-&quot;??\ &quot;₽&quot;_-;_-@_-"/>
    <numFmt numFmtId="164" formatCode="?"/>
    <numFmt numFmtId="165" formatCode="000000"/>
    <numFmt numFmtId="166" formatCode="#,##0.00000"/>
    <numFmt numFmtId="167" formatCode="#,##0_ ;\-#,##0\ "/>
    <numFmt numFmtId="168" formatCode="00000\-0000"/>
    <numFmt numFmtId="169" formatCode="#,##0.00_ ;\-#,##0.00\ "/>
    <numFmt numFmtId="170" formatCode="#,##0.00000_ ;\-#,##0.00000\ "/>
    <numFmt numFmtId="171" formatCode="0.00000"/>
    <numFmt numFmtId="172" formatCode="0.0%"/>
  </numFmts>
  <fonts count="57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.5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3" fillId="0" borderId="0"/>
    <xf numFmtId="44" fontId="33" fillId="0" borderId="0" applyFont="0" applyFill="0" applyBorder="0" applyAlignment="0" applyProtection="0"/>
  </cellStyleXfs>
  <cellXfs count="1006">
    <xf numFmtId="0" fontId="0" fillId="0" borderId="0" xfId="0"/>
    <xf numFmtId="49" fontId="8" fillId="2" borderId="1" xfId="1" applyNumberFormat="1" applyFont="1" applyFill="1" applyBorder="1" applyAlignment="1">
      <alignment horizontal="center" vertical="center" wrapText="1"/>
    </xf>
    <xf numFmtId="166" fontId="17" fillId="2" borderId="1" xfId="4" applyNumberFormat="1" applyFont="1" applyFill="1" applyBorder="1" applyAlignment="1">
      <alignment horizontal="right" vertical="center" wrapText="1"/>
    </xf>
    <xf numFmtId="166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166" fontId="8" fillId="2" borderId="1" xfId="5" applyNumberFormat="1" applyFont="1" applyFill="1" applyBorder="1" applyAlignment="1">
      <alignment horizontal="right" vertical="center" wrapText="1"/>
    </xf>
    <xf numFmtId="49" fontId="27" fillId="2" borderId="1" xfId="5" applyNumberFormat="1" applyFont="1" applyFill="1" applyBorder="1" applyAlignment="1">
      <alignment horizontal="center" vertical="center" wrapText="1"/>
    </xf>
    <xf numFmtId="0" fontId="8" fillId="2" borderId="0" xfId="5" applyFont="1" applyFill="1"/>
    <xf numFmtId="49" fontId="8" fillId="2" borderId="2" xfId="5" applyNumberFormat="1" applyFont="1" applyFill="1" applyBorder="1" applyAlignment="1">
      <alignment horizontal="left" vertical="center" wrapText="1"/>
    </xf>
    <xf numFmtId="49" fontId="8" fillId="2" borderId="2" xfId="5" applyNumberFormat="1" applyFont="1" applyFill="1" applyBorder="1" applyAlignment="1">
      <alignment horizontal="left" vertical="center" wrapText="1" indent="2"/>
    </xf>
    <xf numFmtId="166" fontId="8" fillId="2" borderId="16" xfId="5" applyNumberFormat="1" applyFont="1" applyFill="1" applyBorder="1" applyAlignment="1">
      <alignment horizontal="right" vertical="center" wrapText="1"/>
    </xf>
    <xf numFmtId="49" fontId="8" fillId="2" borderId="2" xfId="5" applyNumberFormat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23" fillId="2" borderId="0" xfId="0" applyFont="1" applyFill="1" applyProtection="1">
      <protection locked="0"/>
    </xf>
    <xf numFmtId="0" fontId="6" fillId="2" borderId="0" xfId="3" applyFont="1" applyFill="1" applyAlignment="1" applyProtection="1">
      <alignment horizontal="left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3" fillId="2" borderId="0" xfId="0" applyFont="1" applyFill="1"/>
    <xf numFmtId="0" fontId="6" fillId="2" borderId="0" xfId="3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" fillId="2" borderId="0" xfId="3" applyFill="1"/>
    <xf numFmtId="0" fontId="2" fillId="2" borderId="0" xfId="3" applyFill="1" applyAlignment="1">
      <alignment horizontal="left"/>
    </xf>
    <xf numFmtId="0" fontId="2" fillId="2" borderId="0" xfId="3" applyFill="1" applyAlignment="1">
      <alignment vertical="center"/>
    </xf>
    <xf numFmtId="0" fontId="8" fillId="2" borderId="0" xfId="4" applyFont="1" applyFill="1"/>
    <xf numFmtId="0" fontId="7" fillId="2" borderId="0" xfId="4" applyFont="1" applyFill="1" applyAlignment="1">
      <alignment horizontal="center"/>
    </xf>
    <xf numFmtId="0" fontId="8" fillId="2" borderId="0" xfId="4" applyFont="1" applyFill="1" applyAlignment="1">
      <alignment horizontal="right"/>
    </xf>
    <xf numFmtId="0" fontId="4" fillId="2" borderId="1" xfId="4" applyFont="1" applyFill="1" applyBorder="1" applyAlignment="1">
      <alignment horizontal="center" vertical="center" wrapText="1"/>
    </xf>
    <xf numFmtId="0" fontId="4" fillId="2" borderId="0" xfId="4" applyFont="1" applyFill="1"/>
    <xf numFmtId="0" fontId="4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4" applyFont="1" applyFill="1" applyBorder="1" applyAlignment="1">
      <alignment horizontal="left" vertical="center" wrapText="1"/>
    </xf>
    <xf numFmtId="166" fontId="5" fillId="2" borderId="1" xfId="4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166" fontId="19" fillId="2" borderId="1" xfId="4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166" fontId="20" fillId="2" borderId="1" xfId="4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center" wrapText="1"/>
    </xf>
    <xf numFmtId="166" fontId="31" fillId="2" borderId="1" xfId="4" applyNumberFormat="1" applyFont="1" applyFill="1" applyBorder="1" applyAlignment="1">
      <alignment horizontal="right" vertical="center" wrapText="1"/>
    </xf>
    <xf numFmtId="166" fontId="34" fillId="2" borderId="1" xfId="4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right" vertical="center" wrapText="1"/>
    </xf>
    <xf numFmtId="0" fontId="3" fillId="2" borderId="0" xfId="4" applyFont="1" applyFill="1"/>
    <xf numFmtId="0" fontId="7" fillId="2" borderId="0" xfId="4" applyFont="1" applyFill="1"/>
    <xf numFmtId="0" fontId="0" fillId="2" borderId="0" xfId="0" applyFill="1"/>
    <xf numFmtId="166" fontId="0" fillId="2" borderId="0" xfId="0" applyNumberFormat="1" applyFill="1"/>
    <xf numFmtId="0" fontId="6" fillId="2" borderId="0" xfId="3" applyFont="1" applyFill="1"/>
    <xf numFmtId="0" fontId="4" fillId="2" borderId="0" xfId="1" applyFont="1" applyFill="1"/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horizontal="center" vertical="center" wrapText="1"/>
    </xf>
    <xf numFmtId="166" fontId="11" fillId="2" borderId="10" xfId="1" applyNumberFormat="1" applyFont="1" applyFill="1" applyBorder="1" applyAlignment="1">
      <alignment vertical="center"/>
    </xf>
    <xf numFmtId="166" fontId="11" fillId="2" borderId="11" xfId="1" applyNumberFormat="1" applyFont="1" applyFill="1" applyBorder="1" applyAlignment="1">
      <alignment vertical="center"/>
    </xf>
    <xf numFmtId="0" fontId="11" fillId="2" borderId="12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 wrapText="1"/>
    </xf>
    <xf numFmtId="166" fontId="11" fillId="2" borderId="12" xfId="1" applyNumberFormat="1" applyFont="1" applyFill="1" applyBorder="1" applyAlignment="1">
      <alignment vertical="center"/>
    </xf>
    <xf numFmtId="0" fontId="11" fillId="2" borderId="9" xfId="1" applyFont="1" applyFill="1" applyBorder="1" applyAlignment="1">
      <alignment horizontal="left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166" fontId="7" fillId="2" borderId="10" xfId="1" applyNumberFormat="1" applyFont="1" applyFill="1" applyBorder="1" applyAlignment="1">
      <alignment vertical="center" wrapText="1"/>
    </xf>
    <xf numFmtId="166" fontId="7" fillId="2" borderId="11" xfId="1" applyNumberFormat="1" applyFont="1" applyFill="1" applyBorder="1" applyAlignment="1">
      <alignment vertical="center" wrapText="1"/>
    </xf>
    <xf numFmtId="49" fontId="10" fillId="2" borderId="3" xfId="5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21" xfId="1" applyNumberFormat="1" applyFont="1" applyFill="1" applyBorder="1" applyAlignment="1">
      <alignment vertical="center" wrapText="1"/>
    </xf>
    <xf numFmtId="166" fontId="10" fillId="2" borderId="1" xfId="1" applyNumberFormat="1" applyFont="1" applyFill="1" applyBorder="1" applyAlignment="1">
      <alignment vertical="center" wrapText="1"/>
    </xf>
    <xf numFmtId="166" fontId="10" fillId="2" borderId="16" xfId="1" applyNumberFormat="1" applyFont="1" applyFill="1" applyBorder="1" applyAlignment="1">
      <alignment vertical="center" wrapText="1"/>
    </xf>
    <xf numFmtId="0" fontId="13" fillId="2" borderId="2" xfId="1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166" fontId="8" fillId="2" borderId="16" xfId="1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vertical="center" wrapText="1"/>
    </xf>
    <xf numFmtId="166" fontId="8" fillId="2" borderId="16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66" fontId="8" fillId="2" borderId="1" xfId="5" applyNumberFormat="1" applyFont="1" applyFill="1" applyBorder="1" applyAlignment="1">
      <alignment horizontal="right" vertical="center"/>
    </xf>
    <xf numFmtId="166" fontId="8" fillId="2" borderId="16" xfId="5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0" fillId="2" borderId="2" xfId="5" applyNumberFormat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49" fontId="13" fillId="2" borderId="18" xfId="1" applyNumberFormat="1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vertical="center" wrapText="1"/>
    </xf>
    <xf numFmtId="166" fontId="8" fillId="2" borderId="19" xfId="1" applyNumberFormat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4" xfId="5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wrapText="1" indent="2"/>
    </xf>
    <xf numFmtId="166" fontId="9" fillId="2" borderId="1" xfId="1" applyNumberFormat="1" applyFont="1" applyFill="1" applyBorder="1" applyAlignment="1">
      <alignment vertical="center" wrapText="1"/>
    </xf>
    <xf numFmtId="166" fontId="9" fillId="2" borderId="16" xfId="1" applyNumberFormat="1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8" fillId="2" borderId="18" xfId="5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center" vertical="center" wrapText="1"/>
    </xf>
    <xf numFmtId="166" fontId="9" fillId="2" borderId="14" xfId="1" applyNumberFormat="1" applyFont="1" applyFill="1" applyBorder="1" applyAlignment="1">
      <alignment vertical="center" wrapText="1"/>
    </xf>
    <xf numFmtId="166" fontId="9" fillId="2" borderId="15" xfId="1" applyNumberFormat="1" applyFont="1" applyFill="1" applyBorder="1" applyAlignment="1">
      <alignment vertical="center" wrapText="1"/>
    </xf>
    <xf numFmtId="49" fontId="10" fillId="2" borderId="1" xfId="5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center" vertical="center" wrapText="1"/>
    </xf>
    <xf numFmtId="168" fontId="8" fillId="2" borderId="2" xfId="2" applyNumberFormat="1" applyFont="1" applyFill="1" applyBorder="1" applyAlignment="1">
      <alignment horizontal="left" vertical="center" wrapText="1"/>
    </xf>
    <xf numFmtId="165" fontId="8" fillId="2" borderId="2" xfId="5" applyNumberFormat="1" applyFont="1" applyFill="1" applyBorder="1" applyAlignment="1">
      <alignment horizontal="left" vertical="center" wrapText="1" indent="2"/>
    </xf>
    <xf numFmtId="165" fontId="8" fillId="2" borderId="17" xfId="5" applyNumberFormat="1" applyFont="1" applyFill="1" applyBorder="1" applyAlignment="1">
      <alignment horizontal="left" vertical="center" wrapText="1" indent="2"/>
    </xf>
    <xf numFmtId="49" fontId="8" fillId="2" borderId="18" xfId="0" applyNumberFormat="1" applyFont="1" applyFill="1" applyBorder="1" applyAlignment="1">
      <alignment horizontal="center" vertical="center" wrapText="1"/>
    </xf>
    <xf numFmtId="0" fontId="28" fillId="2" borderId="9" xfId="1" applyFont="1" applyFill="1" applyBorder="1" applyAlignment="1">
      <alignment horizontal="left" vertical="center" wrapText="1"/>
    </xf>
    <xf numFmtId="0" fontId="28" fillId="2" borderId="10" xfId="1" applyFont="1" applyFill="1" applyBorder="1" applyAlignment="1">
      <alignment horizontal="center" vertical="center" wrapText="1"/>
    </xf>
    <xf numFmtId="49" fontId="28" fillId="2" borderId="10" xfId="1" applyNumberFormat="1" applyFont="1" applyFill="1" applyBorder="1" applyAlignment="1">
      <alignment horizontal="center" vertical="center" wrapText="1"/>
    </xf>
    <xf numFmtId="0" fontId="30" fillId="2" borderId="14" xfId="1" applyFont="1" applyFill="1" applyBorder="1" applyAlignment="1">
      <alignment horizontal="center" vertical="center" wrapText="1"/>
    </xf>
    <xf numFmtId="49" fontId="27" fillId="2" borderId="2" xfId="5" applyNumberFormat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vertical="center" wrapText="1"/>
    </xf>
    <xf numFmtId="49" fontId="27" fillId="2" borderId="2" xfId="5" applyNumberFormat="1" applyFont="1" applyFill="1" applyBorder="1" applyAlignment="1">
      <alignment horizontal="left" vertical="center" wrapText="1" indent="2"/>
    </xf>
    <xf numFmtId="49" fontId="8" fillId="2" borderId="3" xfId="5" applyNumberFormat="1" applyFont="1" applyFill="1" applyBorder="1" applyAlignment="1">
      <alignment horizontal="center" vertical="center" wrapText="1"/>
    </xf>
    <xf numFmtId="49" fontId="8" fillId="2" borderId="4" xfId="5" applyNumberFormat="1" applyFont="1" applyFill="1" applyBorder="1" applyAlignment="1">
      <alignment horizontal="center" vertical="center" wrapText="1"/>
    </xf>
    <xf numFmtId="49" fontId="13" fillId="2" borderId="4" xfId="1" applyNumberFormat="1" applyFont="1" applyFill="1" applyBorder="1" applyAlignment="1">
      <alignment horizontal="center" vertical="center" wrapText="1"/>
    </xf>
    <xf numFmtId="44" fontId="7" fillId="2" borderId="9" xfId="6" applyFont="1" applyFill="1" applyBorder="1" applyAlignment="1">
      <alignment horizontal="left" vertical="center" wrapText="1"/>
    </xf>
    <xf numFmtId="44" fontId="7" fillId="2" borderId="10" xfId="6" applyFont="1" applyFill="1" applyBorder="1" applyAlignment="1">
      <alignment horizontal="center" vertical="center" wrapText="1"/>
    </xf>
    <xf numFmtId="170" fontId="7" fillId="2" borderId="10" xfId="6" applyNumberFormat="1" applyFont="1" applyFill="1" applyBorder="1" applyAlignment="1">
      <alignment vertical="center" wrapText="1"/>
    </xf>
    <xf numFmtId="170" fontId="7" fillId="2" borderId="11" xfId="6" applyNumberFormat="1" applyFont="1" applyFill="1" applyBorder="1" applyAlignment="1">
      <alignment vertical="center" wrapText="1"/>
    </xf>
    <xf numFmtId="44" fontId="7" fillId="2" borderId="14" xfId="6" applyFont="1" applyFill="1" applyBorder="1" applyAlignment="1">
      <alignment horizontal="center" vertical="center" wrapText="1"/>
    </xf>
    <xf numFmtId="44" fontId="8" fillId="2" borderId="2" xfId="6" applyFont="1" applyFill="1" applyBorder="1" applyAlignment="1">
      <alignment horizontal="left" vertical="center" wrapText="1"/>
    </xf>
    <xf numFmtId="44" fontId="8" fillId="2" borderId="1" xfId="6" applyFont="1" applyFill="1" applyBorder="1" applyAlignment="1">
      <alignment horizontal="center" vertical="center" wrapText="1"/>
    </xf>
    <xf numFmtId="44" fontId="10" fillId="2" borderId="1" xfId="6" applyFont="1" applyFill="1" applyBorder="1" applyAlignment="1">
      <alignment horizontal="center" vertical="center" wrapText="1"/>
    </xf>
    <xf numFmtId="170" fontId="10" fillId="2" borderId="1" xfId="6" applyNumberFormat="1" applyFont="1" applyFill="1" applyBorder="1" applyAlignment="1">
      <alignment vertical="center" wrapText="1"/>
    </xf>
    <xf numFmtId="170" fontId="10" fillId="2" borderId="16" xfId="6" applyNumberFormat="1" applyFont="1" applyFill="1" applyBorder="1" applyAlignment="1">
      <alignment vertical="center" wrapText="1"/>
    </xf>
    <xf numFmtId="170" fontId="8" fillId="2" borderId="1" xfId="6" applyNumberFormat="1" applyFont="1" applyFill="1" applyBorder="1" applyAlignment="1">
      <alignment vertical="center" wrapText="1"/>
    </xf>
    <xf numFmtId="170" fontId="8" fillId="2" borderId="16" xfId="6" applyNumberFormat="1" applyFont="1" applyFill="1" applyBorder="1" applyAlignment="1">
      <alignment vertical="center" wrapText="1"/>
    </xf>
    <xf numFmtId="44" fontId="8" fillId="2" borderId="2" xfId="6" applyFont="1" applyFill="1" applyBorder="1" applyAlignment="1">
      <alignment vertical="center" wrapText="1"/>
    </xf>
    <xf numFmtId="167" fontId="8" fillId="2" borderId="1" xfId="6" applyNumberFormat="1" applyFont="1" applyFill="1" applyBorder="1" applyAlignment="1">
      <alignment horizontal="center" vertical="center" wrapText="1"/>
    </xf>
    <xf numFmtId="44" fontId="8" fillId="2" borderId="2" xfId="6" applyFont="1" applyFill="1" applyBorder="1" applyAlignment="1">
      <alignment horizontal="left" vertical="center" wrapText="1" indent="2"/>
    </xf>
    <xf numFmtId="169" fontId="8" fillId="2" borderId="1" xfId="6" applyNumberFormat="1" applyFont="1" applyFill="1" applyBorder="1" applyAlignment="1">
      <alignment horizontal="center"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44" fontId="8" fillId="2" borderId="18" xfId="6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0" fontId="8" fillId="2" borderId="18" xfId="6" applyNumberFormat="1" applyFont="1" applyFill="1" applyBorder="1" applyAlignment="1">
      <alignment vertical="center" wrapText="1"/>
    </xf>
    <xf numFmtId="170" fontId="8" fillId="2" borderId="19" xfId="6" applyNumberFormat="1" applyFont="1" applyFill="1" applyBorder="1" applyAlignment="1">
      <alignment vertical="center" wrapText="1"/>
    </xf>
    <xf numFmtId="49" fontId="7" fillId="2" borderId="9" xfId="5" applyNumberFormat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8" fillId="2" borderId="2" xfId="5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justify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49" fontId="13" fillId="2" borderId="1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5" fontId="8" fillId="2" borderId="22" xfId="5" applyNumberFormat="1" applyFont="1" applyFill="1" applyBorder="1" applyAlignment="1">
      <alignment horizontal="left" vertical="center" wrapText="1" indent="2"/>
    </xf>
    <xf numFmtId="49" fontId="8" fillId="2" borderId="4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vertical="center" wrapText="1"/>
    </xf>
    <xf numFmtId="166" fontId="8" fillId="2" borderId="23" xfId="1" applyNumberFormat="1" applyFont="1" applyFill="1" applyBorder="1" applyAlignment="1">
      <alignment vertical="center" wrapText="1"/>
    </xf>
    <xf numFmtId="166" fontId="7" fillId="2" borderId="10" xfId="5" applyNumberFormat="1" applyFont="1" applyFill="1" applyBorder="1" applyAlignment="1">
      <alignment horizontal="right" vertical="center" wrapText="1"/>
    </xf>
    <xf numFmtId="166" fontId="7" fillId="2" borderId="11" xfId="5" applyNumberFormat="1" applyFont="1" applyFill="1" applyBorder="1" applyAlignment="1">
      <alignment horizontal="right" vertical="center" wrapText="1"/>
    </xf>
    <xf numFmtId="0" fontId="10" fillId="2" borderId="2" xfId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6" fontId="8" fillId="2" borderId="4" xfId="5" applyNumberFormat="1" applyFont="1" applyFill="1" applyBorder="1" applyAlignment="1">
      <alignment horizontal="right" vertical="center" wrapText="1"/>
    </xf>
    <xf numFmtId="166" fontId="8" fillId="2" borderId="23" xfId="5" applyNumberFormat="1" applyFont="1" applyFill="1" applyBorder="1" applyAlignment="1">
      <alignment horizontal="right" vertical="center" wrapText="1"/>
    </xf>
    <xf numFmtId="49" fontId="7" fillId="2" borderId="10" xfId="5" applyNumberFormat="1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left" wrapText="1"/>
    </xf>
    <xf numFmtId="0" fontId="5" fillId="2" borderId="0" xfId="1" applyFont="1" applyFill="1"/>
    <xf numFmtId="0" fontId="8" fillId="2" borderId="2" xfId="0" applyFont="1" applyFill="1" applyBorder="1" applyAlignment="1">
      <alignment horizontal="left" wrapText="1"/>
    </xf>
    <xf numFmtId="0" fontId="7" fillId="2" borderId="9" xfId="1" applyFont="1" applyFill="1" applyBorder="1"/>
    <xf numFmtId="0" fontId="8" fillId="2" borderId="10" xfId="1" applyFont="1" applyFill="1" applyBorder="1" applyAlignment="1">
      <alignment horizontal="center"/>
    </xf>
    <xf numFmtId="0" fontId="8" fillId="2" borderId="10" xfId="1" applyFont="1" applyFill="1" applyBorder="1"/>
    <xf numFmtId="166" fontId="7" fillId="2" borderId="10" xfId="1" applyNumberFormat="1" applyFont="1" applyFill="1" applyBorder="1"/>
    <xf numFmtId="166" fontId="7" fillId="2" borderId="11" xfId="1" applyNumberFormat="1" applyFont="1" applyFill="1" applyBorder="1"/>
    <xf numFmtId="49" fontId="7" fillId="2" borderId="24" xfId="5" applyNumberFormat="1" applyFont="1" applyFill="1" applyBorder="1" applyAlignment="1">
      <alignment horizontal="left" vertical="center" wrapText="1"/>
    </xf>
    <xf numFmtId="49" fontId="7" fillId="2" borderId="25" xfId="5" applyNumberFormat="1" applyFont="1" applyFill="1" applyBorder="1" applyAlignment="1">
      <alignment horizontal="center" vertical="center" wrapText="1"/>
    </xf>
    <xf numFmtId="166" fontId="7" fillId="2" borderId="25" xfId="5" applyNumberFormat="1" applyFont="1" applyFill="1" applyBorder="1" applyAlignment="1">
      <alignment vertical="center" wrapText="1"/>
    </xf>
    <xf numFmtId="166" fontId="7" fillId="2" borderId="26" xfId="5" applyNumberFormat="1" applyFont="1" applyFill="1" applyBorder="1" applyAlignment="1">
      <alignment vertical="center" wrapText="1"/>
    </xf>
    <xf numFmtId="49" fontId="9" fillId="2" borderId="13" xfId="5" applyNumberFormat="1" applyFont="1" applyFill="1" applyBorder="1" applyAlignment="1">
      <alignment horizontal="left" vertical="center" wrapText="1"/>
    </xf>
    <xf numFmtId="49" fontId="9" fillId="2" borderId="14" xfId="5" applyNumberFormat="1" applyFont="1" applyFill="1" applyBorder="1" applyAlignment="1">
      <alignment horizontal="center" vertical="center" wrapText="1"/>
    </xf>
    <xf numFmtId="166" fontId="9" fillId="2" borderId="14" xfId="5" applyNumberFormat="1" applyFont="1" applyFill="1" applyBorder="1" applyAlignment="1">
      <alignment vertical="center" wrapText="1"/>
    </xf>
    <xf numFmtId="166" fontId="9" fillId="2" borderId="15" xfId="5" applyNumberFormat="1" applyFont="1" applyFill="1" applyBorder="1" applyAlignment="1">
      <alignment vertical="center" wrapText="1"/>
    </xf>
    <xf numFmtId="166" fontId="10" fillId="2" borderId="1" xfId="5" applyNumberFormat="1" applyFont="1" applyFill="1" applyBorder="1" applyAlignment="1">
      <alignment vertical="center" wrapText="1"/>
    </xf>
    <xf numFmtId="166" fontId="10" fillId="2" borderId="16" xfId="5" applyNumberFormat="1" applyFont="1" applyFill="1" applyBorder="1" applyAlignment="1">
      <alignment vertical="center" wrapText="1"/>
    </xf>
    <xf numFmtId="166" fontId="8" fillId="2" borderId="1" xfId="5" applyNumberFormat="1" applyFont="1" applyFill="1" applyBorder="1" applyAlignment="1">
      <alignment vertical="center" wrapText="1"/>
    </xf>
    <xf numFmtId="166" fontId="8" fillId="2" borderId="16" xfId="5" applyNumberFormat="1" applyFont="1" applyFill="1" applyBorder="1" applyAlignment="1">
      <alignment vertical="center" wrapText="1"/>
    </xf>
    <xf numFmtId="49" fontId="9" fillId="2" borderId="2" xfId="5" applyNumberFormat="1" applyFont="1" applyFill="1" applyBorder="1" applyAlignment="1">
      <alignment horizontal="left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166" fontId="9" fillId="2" borderId="1" xfId="5" applyNumberFormat="1" applyFont="1" applyFill="1" applyBorder="1" applyAlignment="1">
      <alignment vertical="center" wrapText="1"/>
    </xf>
    <xf numFmtId="166" fontId="9" fillId="2" borderId="16" xfId="5" applyNumberFormat="1" applyFont="1" applyFill="1" applyBorder="1" applyAlignment="1">
      <alignment vertical="center" wrapText="1"/>
    </xf>
    <xf numFmtId="0" fontId="8" fillId="2" borderId="2" xfId="5" applyFont="1" applyFill="1" applyBorder="1" applyAlignment="1">
      <alignment horizontal="left" vertical="center" wrapText="1"/>
    </xf>
    <xf numFmtId="0" fontId="8" fillId="2" borderId="2" xfId="5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left" vertical="center" wrapText="1"/>
    </xf>
    <xf numFmtId="166" fontId="8" fillId="2" borderId="1" xfId="5" applyNumberFormat="1" applyFont="1" applyFill="1" applyBorder="1" applyAlignment="1">
      <alignment vertical="center"/>
    </xf>
    <xf numFmtId="166" fontId="8" fillId="2" borderId="16" xfId="5" applyNumberFormat="1" applyFont="1" applyFill="1" applyBorder="1" applyAlignment="1">
      <alignment vertical="center"/>
    </xf>
    <xf numFmtId="0" fontId="8" fillId="2" borderId="0" xfId="0" applyFont="1" applyFill="1"/>
    <xf numFmtId="49" fontId="8" fillId="2" borderId="2" xfId="5" applyNumberFormat="1" applyFont="1" applyFill="1" applyBorder="1" applyAlignment="1">
      <alignment horizontal="left" vertical="top" wrapText="1"/>
    </xf>
    <xf numFmtId="166" fontId="9" fillId="2" borderId="1" xfId="5" applyNumberFormat="1" applyFont="1" applyFill="1" applyBorder="1" applyAlignment="1">
      <alignment vertical="center"/>
    </xf>
    <xf numFmtId="166" fontId="9" fillId="2" borderId="16" xfId="5" applyNumberFormat="1" applyFont="1" applyFill="1" applyBorder="1" applyAlignment="1">
      <alignment vertical="center"/>
    </xf>
    <xf numFmtId="166" fontId="10" fillId="2" borderId="1" xfId="5" applyNumberFormat="1" applyFont="1" applyFill="1" applyBorder="1" applyAlignment="1">
      <alignment vertical="center"/>
    </xf>
    <xf numFmtId="166" fontId="10" fillId="2" borderId="16" xfId="5" applyNumberFormat="1" applyFont="1" applyFill="1" applyBorder="1" applyAlignment="1">
      <alignment vertical="center"/>
    </xf>
    <xf numFmtId="166" fontId="8" fillId="2" borderId="4" xfId="5" applyNumberFormat="1" applyFont="1" applyFill="1" applyBorder="1" applyAlignment="1">
      <alignment vertical="center"/>
    </xf>
    <xf numFmtId="166" fontId="8" fillId="2" borderId="23" xfId="5" applyNumberFormat="1" applyFont="1" applyFill="1" applyBorder="1" applyAlignment="1">
      <alignment vertical="center"/>
    </xf>
    <xf numFmtId="49" fontId="8" fillId="2" borderId="10" xfId="5" applyNumberFormat="1" applyFont="1" applyFill="1" applyBorder="1" applyAlignment="1">
      <alignment horizontal="center" vertical="center" wrapText="1"/>
    </xf>
    <xf numFmtId="166" fontId="7" fillId="2" borderId="10" xfId="5" applyNumberFormat="1" applyFont="1" applyFill="1" applyBorder="1" applyAlignment="1">
      <alignment vertical="center" wrapText="1"/>
    </xf>
    <xf numFmtId="166" fontId="7" fillId="2" borderId="11" xfId="5" applyNumberFormat="1" applyFont="1" applyFill="1" applyBorder="1" applyAlignment="1">
      <alignment vertical="center" wrapText="1"/>
    </xf>
    <xf numFmtId="49" fontId="9" fillId="2" borderId="20" xfId="5" applyNumberFormat="1" applyFont="1" applyFill="1" applyBorder="1" applyAlignment="1">
      <alignment horizontal="left" vertical="center" wrapText="1"/>
    </xf>
    <xf numFmtId="49" fontId="9" fillId="2" borderId="3" xfId="5" applyNumberFormat="1" applyFont="1" applyFill="1" applyBorder="1" applyAlignment="1">
      <alignment horizontal="center" vertical="center" wrapText="1"/>
    </xf>
    <xf numFmtId="166" fontId="9" fillId="2" borderId="3" xfId="5" applyNumberFormat="1" applyFont="1" applyFill="1" applyBorder="1" applyAlignment="1">
      <alignment vertical="center" wrapText="1"/>
    </xf>
    <xf numFmtId="166" fontId="9" fillId="2" borderId="21" xfId="5" applyNumberFormat="1" applyFont="1" applyFill="1" applyBorder="1" applyAlignment="1">
      <alignment vertical="center" wrapText="1"/>
    </xf>
    <xf numFmtId="49" fontId="7" fillId="2" borderId="2" xfId="5" applyNumberFormat="1" applyFont="1" applyFill="1" applyBorder="1" applyAlignment="1">
      <alignment horizontal="left" vertical="center" wrapText="1"/>
    </xf>
    <xf numFmtId="49" fontId="27" fillId="2" borderId="4" xfId="5" applyNumberFormat="1" applyFont="1" applyFill="1" applyBorder="1" applyAlignment="1">
      <alignment horizontal="center" vertical="center" wrapText="1"/>
    </xf>
    <xf numFmtId="166" fontId="8" fillId="2" borderId="4" xfId="5" applyNumberFormat="1" applyFont="1" applyFill="1" applyBorder="1" applyAlignment="1">
      <alignment vertical="center" wrapText="1"/>
    </xf>
    <xf numFmtId="166" fontId="8" fillId="2" borderId="23" xfId="5" applyNumberFormat="1" applyFont="1" applyFill="1" applyBorder="1" applyAlignment="1">
      <alignment vertical="center" wrapText="1"/>
    </xf>
    <xf numFmtId="166" fontId="27" fillId="2" borderId="1" xfId="5" applyNumberFormat="1" applyFont="1" applyFill="1" applyBorder="1" applyAlignment="1">
      <alignment vertical="center" wrapText="1"/>
    </xf>
    <xf numFmtId="166" fontId="27" fillId="2" borderId="16" xfId="5" applyNumberFormat="1" applyFont="1" applyFill="1" applyBorder="1" applyAlignment="1">
      <alignment vertical="center" wrapText="1"/>
    </xf>
    <xf numFmtId="0" fontId="27" fillId="2" borderId="2" xfId="1" applyFont="1" applyFill="1" applyBorder="1" applyAlignment="1">
      <alignment horizontal="left" vertical="center" wrapText="1"/>
    </xf>
    <xf numFmtId="0" fontId="27" fillId="2" borderId="2" xfId="1" applyFont="1" applyFill="1" applyBorder="1" applyAlignment="1">
      <alignment horizontal="left" wrapText="1" indent="2"/>
    </xf>
    <xf numFmtId="49" fontId="27" fillId="2" borderId="18" xfId="5" applyNumberFormat="1" applyFont="1" applyFill="1" applyBorder="1" applyAlignment="1">
      <alignment horizontal="center" vertical="center" wrapText="1"/>
    </xf>
    <xf numFmtId="166" fontId="27" fillId="2" borderId="18" xfId="5" applyNumberFormat="1" applyFont="1" applyFill="1" applyBorder="1" applyAlignment="1">
      <alignment vertical="center" wrapText="1"/>
    </xf>
    <xf numFmtId="166" fontId="27" fillId="2" borderId="19" xfId="5" applyNumberFormat="1" applyFont="1" applyFill="1" applyBorder="1" applyAlignment="1">
      <alignment vertical="center" wrapText="1"/>
    </xf>
    <xf numFmtId="0" fontId="4" fillId="2" borderId="0" xfId="5" applyFont="1" applyFill="1"/>
    <xf numFmtId="0" fontId="4" fillId="2" borderId="0" xfId="5" applyFont="1" applyFill="1" applyAlignment="1">
      <alignment horizontal="center"/>
    </xf>
    <xf numFmtId="49" fontId="4" fillId="2" borderId="0" xfId="5" applyNumberFormat="1" applyFont="1" applyFill="1" applyAlignment="1">
      <alignment horizontal="center"/>
    </xf>
    <xf numFmtId="0" fontId="5" fillId="2" borderId="0" xfId="5" applyFont="1" applyFill="1"/>
    <xf numFmtId="0" fontId="5" fillId="2" borderId="0" xfId="5" applyFont="1" applyFill="1" applyAlignment="1">
      <alignment horizontal="center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49" fontId="8" fillId="2" borderId="23" xfId="5" applyNumberFormat="1" applyFont="1" applyFill="1" applyBorder="1" applyAlignment="1">
      <alignment horizontal="center" vertical="center" wrapText="1"/>
    </xf>
    <xf numFmtId="166" fontId="7" fillId="2" borderId="11" xfId="5" applyNumberFormat="1" applyFont="1" applyFill="1" applyBorder="1" applyAlignment="1">
      <alignment horizontal="right" vertical="center"/>
    </xf>
    <xf numFmtId="0" fontId="7" fillId="2" borderId="0" xfId="5" applyFont="1" applyFill="1"/>
    <xf numFmtId="49" fontId="8" fillId="2" borderId="25" xfId="5" applyNumberFormat="1" applyFont="1" applyFill="1" applyBorder="1" applyAlignment="1">
      <alignment horizontal="center" vertical="center" wrapText="1"/>
    </xf>
    <xf numFmtId="166" fontId="7" fillId="2" borderId="26" xfId="5" applyNumberFormat="1" applyFont="1" applyFill="1" applyBorder="1" applyAlignment="1">
      <alignment horizontal="right" vertical="center"/>
    </xf>
    <xf numFmtId="49" fontId="9" fillId="2" borderId="27" xfId="5" applyNumberFormat="1" applyFont="1" applyFill="1" applyBorder="1" applyAlignment="1">
      <alignment horizontal="left" vertical="center" wrapText="1"/>
    </xf>
    <xf numFmtId="49" fontId="9" fillId="2" borderId="28" xfId="5" applyNumberFormat="1" applyFont="1" applyFill="1" applyBorder="1" applyAlignment="1">
      <alignment horizontal="center" vertical="center" wrapText="1"/>
    </xf>
    <xf numFmtId="49" fontId="10" fillId="2" borderId="28" xfId="5" applyNumberFormat="1" applyFont="1" applyFill="1" applyBorder="1" applyAlignment="1">
      <alignment horizontal="center" vertical="center" wrapText="1"/>
    </xf>
    <xf numFmtId="166" fontId="9" fillId="2" borderId="29" xfId="5" applyNumberFormat="1" applyFont="1" applyFill="1" applyBorder="1" applyAlignment="1">
      <alignment horizontal="right" vertical="center"/>
    </xf>
    <xf numFmtId="49" fontId="9" fillId="2" borderId="9" xfId="5" applyNumberFormat="1" applyFont="1" applyFill="1" applyBorder="1" applyAlignment="1">
      <alignment horizontal="left" vertical="center" wrapText="1"/>
    </xf>
    <xf numFmtId="49" fontId="9" fillId="2" borderId="10" xfId="5" applyNumberFormat="1" applyFont="1" applyFill="1" applyBorder="1" applyAlignment="1">
      <alignment horizontal="center" vertical="center" wrapText="1"/>
    </xf>
    <xf numFmtId="166" fontId="9" fillId="2" borderId="10" xfId="5" applyNumberFormat="1" applyFont="1" applyFill="1" applyBorder="1" applyAlignment="1">
      <alignment horizontal="right" vertical="center" wrapText="1"/>
    </xf>
    <xf numFmtId="166" fontId="9" fillId="2" borderId="11" xfId="5" applyNumberFormat="1" applyFont="1" applyFill="1" applyBorder="1" applyAlignment="1">
      <alignment horizontal="right" vertical="center" wrapText="1"/>
    </xf>
    <xf numFmtId="0" fontId="9" fillId="2" borderId="0" xfId="5" applyFont="1" applyFill="1"/>
    <xf numFmtId="49" fontId="7" fillId="2" borderId="20" xfId="5" applyNumberFormat="1" applyFont="1" applyFill="1" applyBorder="1" applyAlignment="1">
      <alignment horizontal="left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66" fontId="7" fillId="2" borderId="21" xfId="5" applyNumberFormat="1" applyFont="1" applyFill="1" applyBorder="1" applyAlignment="1">
      <alignment horizontal="right" vertical="center" wrapText="1"/>
    </xf>
    <xf numFmtId="166" fontId="10" fillId="2" borderId="1" xfId="5" applyNumberFormat="1" applyFont="1" applyFill="1" applyBorder="1" applyAlignment="1">
      <alignment horizontal="right" vertical="center" wrapText="1"/>
    </xf>
    <xf numFmtId="166" fontId="10" fillId="2" borderId="16" xfId="5" applyNumberFormat="1" applyFont="1" applyFill="1" applyBorder="1" applyAlignment="1">
      <alignment horizontal="right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49" fontId="8" fillId="2" borderId="22" xfId="5" applyNumberFormat="1" applyFont="1" applyFill="1" applyBorder="1" applyAlignment="1">
      <alignment horizontal="left" vertical="center" wrapText="1" indent="2"/>
    </xf>
    <xf numFmtId="166" fontId="9" fillId="2" borderId="1" xfId="5" applyNumberFormat="1" applyFont="1" applyFill="1" applyBorder="1" applyAlignment="1">
      <alignment horizontal="right" vertical="center" wrapText="1"/>
    </xf>
    <xf numFmtId="166" fontId="9" fillId="2" borderId="16" xfId="5" applyNumberFormat="1" applyFont="1" applyFill="1" applyBorder="1" applyAlignment="1">
      <alignment horizontal="right" vertical="center" wrapText="1"/>
    </xf>
    <xf numFmtId="166" fontId="7" fillId="2" borderId="16" xfId="5" applyNumberFormat="1" applyFont="1" applyFill="1" applyBorder="1" applyAlignment="1">
      <alignment horizontal="right" vertical="center" wrapText="1"/>
    </xf>
    <xf numFmtId="0" fontId="11" fillId="2" borderId="2" xfId="2" applyFont="1" applyFill="1" applyBorder="1" applyAlignment="1">
      <alignment horizontal="left" vertical="center" wrapText="1"/>
    </xf>
    <xf numFmtId="49" fontId="9" fillId="2" borderId="9" xfId="5" applyNumberFormat="1" applyFont="1" applyFill="1" applyBorder="1" applyAlignment="1">
      <alignment vertical="center" wrapText="1"/>
    </xf>
    <xf numFmtId="49" fontId="10" fillId="2" borderId="10" xfId="5" applyNumberFormat="1" applyFont="1" applyFill="1" applyBorder="1" applyAlignment="1">
      <alignment horizontal="center" vertical="center" wrapText="1"/>
    </xf>
    <xf numFmtId="49" fontId="9" fillId="2" borderId="10" xfId="2" applyNumberFormat="1" applyFont="1" applyFill="1" applyBorder="1" applyAlignment="1">
      <alignment horizontal="center" vertical="center" wrapText="1"/>
    </xf>
    <xf numFmtId="49" fontId="10" fillId="2" borderId="10" xfId="2" applyNumberFormat="1" applyFont="1" applyFill="1" applyBorder="1" applyAlignment="1">
      <alignment horizontal="center" vertical="center" wrapText="1"/>
    </xf>
    <xf numFmtId="166" fontId="9" fillId="2" borderId="11" xfId="5" applyNumberFormat="1" applyFont="1" applyFill="1" applyBorder="1" applyAlignment="1">
      <alignment horizontal="right" vertical="center"/>
    </xf>
    <xf numFmtId="0" fontId="9" fillId="2" borderId="24" xfId="5" applyFont="1" applyFill="1" applyBorder="1" applyAlignment="1">
      <alignment horizontal="left" vertical="center" wrapText="1"/>
    </xf>
    <xf numFmtId="49" fontId="10" fillId="2" borderId="25" xfId="5" applyNumberFormat="1" applyFont="1" applyFill="1" applyBorder="1" applyAlignment="1">
      <alignment horizontal="center" vertical="center" wrapText="1"/>
    </xf>
    <xf numFmtId="49" fontId="9" fillId="2" borderId="25" xfId="2" applyNumberFormat="1" applyFont="1" applyFill="1" applyBorder="1" applyAlignment="1">
      <alignment horizontal="center" vertical="center" wrapText="1"/>
    </xf>
    <xf numFmtId="49" fontId="9" fillId="2" borderId="25" xfId="5" applyNumberFormat="1" applyFont="1" applyFill="1" applyBorder="1" applyAlignment="1">
      <alignment horizontal="center" vertical="center" wrapText="1"/>
    </xf>
    <xf numFmtId="166" fontId="9" fillId="2" borderId="26" xfId="5" applyNumberFormat="1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left" vertical="center" wrapText="1"/>
    </xf>
    <xf numFmtId="49" fontId="7" fillId="2" borderId="14" xfId="2" applyNumberFormat="1" applyFont="1" applyFill="1" applyBorder="1" applyAlignment="1">
      <alignment horizontal="center" vertical="center" wrapText="1"/>
    </xf>
    <xf numFmtId="49" fontId="7" fillId="2" borderId="14" xfId="5" applyNumberFormat="1" applyFont="1" applyFill="1" applyBorder="1" applyAlignment="1">
      <alignment horizontal="center" vertical="center" wrapText="1"/>
    </xf>
    <xf numFmtId="166" fontId="7" fillId="2" borderId="15" xfId="5" applyNumberFormat="1" applyFont="1" applyFill="1" applyBorder="1" applyAlignment="1">
      <alignment horizontal="right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10" fillId="2" borderId="0" xfId="5" applyFont="1" applyFill="1"/>
    <xf numFmtId="49" fontId="9" fillId="2" borderId="24" xfId="5" applyNumberFormat="1" applyFont="1" applyFill="1" applyBorder="1" applyAlignment="1">
      <alignment horizontal="left" vertical="center" wrapText="1"/>
    </xf>
    <xf numFmtId="49" fontId="7" fillId="2" borderId="13" xfId="5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" fillId="2" borderId="0" xfId="5" applyFont="1" applyFill="1"/>
    <xf numFmtId="0" fontId="13" fillId="2" borderId="2" xfId="2" applyFont="1" applyFill="1" applyBorder="1" applyAlignment="1">
      <alignment horizontal="left" vertical="center" wrapText="1"/>
    </xf>
    <xf numFmtId="166" fontId="9" fillId="2" borderId="3" xfId="5" applyNumberFormat="1" applyFont="1" applyFill="1" applyBorder="1" applyAlignment="1">
      <alignment horizontal="right" vertical="center" wrapText="1"/>
    </xf>
    <xf numFmtId="166" fontId="9" fillId="2" borderId="21" xfId="5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horizontal="left" vertical="center" wrapText="1"/>
    </xf>
    <xf numFmtId="166" fontId="9" fillId="2" borderId="15" xfId="5" applyNumberFormat="1" applyFont="1" applyFill="1" applyBorder="1" applyAlignment="1">
      <alignment horizontal="right" vertical="center" wrapText="1"/>
    </xf>
    <xf numFmtId="0" fontId="7" fillId="2" borderId="13" xfId="2" applyFont="1" applyFill="1" applyBorder="1" applyAlignment="1">
      <alignment horizontal="left" vertical="center" wrapText="1"/>
    </xf>
    <xf numFmtId="166" fontId="27" fillId="2" borderId="1" xfId="5" applyNumberFormat="1" applyFont="1" applyFill="1" applyBorder="1" applyAlignment="1">
      <alignment horizontal="right" vertical="center" wrapText="1"/>
    </xf>
    <xf numFmtId="0" fontId="8" fillId="2" borderId="1" xfId="5" applyFont="1" applyFill="1" applyBorder="1" applyAlignment="1">
      <alignment horizontal="center"/>
    </xf>
    <xf numFmtId="0" fontId="7" fillId="2" borderId="2" xfId="0" applyFont="1" applyFill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0" fillId="2" borderId="1" xfId="5" applyNumberFormat="1" applyFont="1" applyFill="1" applyBorder="1" applyAlignment="1">
      <alignment horizontal="center" vertical="center" wrapText="1"/>
    </xf>
    <xf numFmtId="166" fontId="27" fillId="2" borderId="16" xfId="5" applyNumberFormat="1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justify" vertical="center" wrapText="1"/>
    </xf>
    <xf numFmtId="49" fontId="28" fillId="2" borderId="1" xfId="5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66" fontId="28" fillId="2" borderId="1" xfId="5" applyNumberFormat="1" applyFont="1" applyFill="1" applyBorder="1" applyAlignment="1">
      <alignment horizontal="right" vertical="center" wrapText="1"/>
    </xf>
    <xf numFmtId="166" fontId="28" fillId="2" borderId="16" xfId="5" applyNumberFormat="1" applyFont="1" applyFill="1" applyBorder="1" applyAlignment="1">
      <alignment horizontal="right" vertical="center" wrapText="1"/>
    </xf>
    <xf numFmtId="44" fontId="27" fillId="2" borderId="1" xfId="6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left" vertical="center" wrapText="1"/>
    </xf>
    <xf numFmtId="44" fontId="27" fillId="2" borderId="2" xfId="6" applyFont="1" applyFill="1" applyBorder="1" applyAlignment="1">
      <alignment horizontal="left" vertical="center" wrapText="1"/>
    </xf>
    <xf numFmtId="167" fontId="27" fillId="2" borderId="1" xfId="6" applyNumberFormat="1" applyFont="1" applyFill="1" applyBorder="1" applyAlignment="1">
      <alignment horizontal="center" vertical="center" wrapText="1"/>
    </xf>
    <xf numFmtId="49" fontId="29" fillId="2" borderId="2" xfId="5" applyNumberFormat="1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left" wrapText="1" indent="2"/>
    </xf>
    <xf numFmtId="0" fontId="13" fillId="2" borderId="22" xfId="2" applyFont="1" applyFill="1" applyBorder="1" applyAlignment="1">
      <alignment horizontal="left" wrapText="1" indent="2"/>
    </xf>
    <xf numFmtId="0" fontId="39" fillId="2" borderId="0" xfId="5" applyFont="1" applyFill="1"/>
    <xf numFmtId="0" fontId="4" fillId="2" borderId="0" xfId="3" applyFont="1" applyFill="1" applyAlignment="1">
      <alignment horizontal="left"/>
    </xf>
    <xf numFmtId="0" fontId="8" fillId="2" borderId="4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49" fontId="9" fillId="2" borderId="14" xfId="1" applyNumberFormat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0" fillId="2" borderId="13" xfId="5" applyNumberFormat="1" applyFont="1" applyFill="1" applyBorder="1" applyAlignment="1">
      <alignment horizontal="left" vertical="center" wrapText="1"/>
    </xf>
    <xf numFmtId="49" fontId="30" fillId="2" borderId="14" xfId="5" applyNumberFormat="1" applyFont="1" applyFill="1" applyBorder="1" applyAlignment="1">
      <alignment horizontal="center" vertical="center" wrapText="1"/>
    </xf>
    <xf numFmtId="49" fontId="30" fillId="2" borderId="14" xfId="1" applyNumberFormat="1" applyFont="1" applyFill="1" applyBorder="1" applyAlignment="1">
      <alignment horizontal="center" vertical="center" wrapText="1"/>
    </xf>
    <xf numFmtId="49" fontId="29" fillId="2" borderId="1" xfId="5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49" fontId="14" fillId="2" borderId="3" xfId="1" applyNumberFormat="1" applyFont="1" applyFill="1" applyBorder="1" applyAlignment="1">
      <alignment horizontal="center" vertical="center" wrapText="1"/>
    </xf>
    <xf numFmtId="44" fontId="9" fillId="2" borderId="13" xfId="6" applyFont="1" applyFill="1" applyBorder="1" applyAlignment="1">
      <alignment horizontal="left" vertical="center" wrapText="1"/>
    </xf>
    <xf numFmtId="44" fontId="9" fillId="2" borderId="14" xfId="6" applyFont="1" applyFill="1" applyBorder="1" applyAlignment="1">
      <alignment horizontal="center" vertical="center" wrapText="1"/>
    </xf>
    <xf numFmtId="170" fontId="7" fillId="2" borderId="14" xfId="6" applyNumberFormat="1" applyFont="1" applyFill="1" applyBorder="1" applyAlignment="1">
      <alignment vertical="center" wrapText="1"/>
    </xf>
    <xf numFmtId="170" fontId="7" fillId="2" borderId="15" xfId="6" applyNumberFormat="1" applyFont="1" applyFill="1" applyBorder="1" applyAlignment="1">
      <alignment vertical="center" wrapText="1"/>
    </xf>
    <xf numFmtId="44" fontId="10" fillId="2" borderId="2" xfId="6" applyFont="1" applyFill="1" applyBorder="1" applyAlignment="1">
      <alignment horizontal="left" vertical="center" wrapText="1"/>
    </xf>
    <xf numFmtId="44" fontId="9" fillId="2" borderId="1" xfId="6" applyFont="1" applyFill="1" applyBorder="1" applyAlignment="1">
      <alignment horizontal="center" vertical="center" wrapText="1"/>
    </xf>
    <xf numFmtId="169" fontId="10" fillId="2" borderId="1" xfId="6" applyNumberFormat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left" vertical="center" wrapText="1"/>
    </xf>
    <xf numFmtId="44" fontId="9" fillId="2" borderId="3" xfId="6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wrapText="1"/>
    </xf>
    <xf numFmtId="0" fontId="14" fillId="2" borderId="20" xfId="1" applyFont="1" applyFill="1" applyBorder="1" applyAlignment="1">
      <alignment horizontal="left" vertical="center" wrapText="1"/>
    </xf>
    <xf numFmtId="44" fontId="29" fillId="2" borderId="1" xfId="6" applyFont="1" applyFill="1" applyBorder="1" applyAlignment="1">
      <alignment horizontal="center" vertical="center" wrapText="1"/>
    </xf>
    <xf numFmtId="166" fontId="29" fillId="2" borderId="1" xfId="5" applyNumberFormat="1" applyFont="1" applyFill="1" applyBorder="1" applyAlignment="1">
      <alignment horizontal="right" vertical="center" wrapText="1"/>
    </xf>
    <xf numFmtId="166" fontId="29" fillId="2" borderId="16" xfId="5" applyNumberFormat="1" applyFont="1" applyFill="1" applyBorder="1" applyAlignment="1">
      <alignment horizontal="right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vertical="center" wrapText="1"/>
    </xf>
    <xf numFmtId="0" fontId="4" fillId="2" borderId="0" xfId="0" applyFont="1" applyFill="1"/>
    <xf numFmtId="0" fontId="13" fillId="2" borderId="2" xfId="1" applyFont="1" applyFill="1" applyBorder="1" applyAlignment="1">
      <alignment horizontal="left" vertical="center" wrapText="1" indent="2"/>
    </xf>
    <xf numFmtId="0" fontId="13" fillId="2" borderId="2" xfId="0" applyFont="1" applyFill="1" applyBorder="1" applyAlignment="1">
      <alignment horizontal="left" vertical="center" wrapText="1" indent="2"/>
    </xf>
    <xf numFmtId="0" fontId="8" fillId="2" borderId="2" xfId="2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left" vertical="center" wrapText="1" indent="2"/>
    </xf>
    <xf numFmtId="0" fontId="8" fillId="2" borderId="17" xfId="1" applyFont="1" applyFill="1" applyBorder="1" applyAlignment="1">
      <alignment horizontal="left" vertical="center" wrapText="1" indent="2"/>
    </xf>
    <xf numFmtId="0" fontId="27" fillId="2" borderId="2" xfId="1" applyFont="1" applyFill="1" applyBorder="1" applyAlignment="1">
      <alignment horizontal="left" vertical="center" wrapText="1" indent="2"/>
    </xf>
    <xf numFmtId="0" fontId="8" fillId="2" borderId="22" xfId="1" applyFont="1" applyFill="1" applyBorder="1" applyAlignment="1">
      <alignment horizontal="left" vertical="center" wrapText="1" indent="2"/>
    </xf>
    <xf numFmtId="0" fontId="8" fillId="2" borderId="2" xfId="1" applyFont="1" applyFill="1" applyBorder="1" applyAlignment="1">
      <alignment horizontal="left" vertical="center" wrapText="1" indent="2"/>
    </xf>
    <xf numFmtId="0" fontId="13" fillId="2" borderId="17" xfId="1" applyFont="1" applyFill="1" applyBorder="1" applyAlignment="1">
      <alignment horizontal="left" vertical="center" wrapText="1" indent="2"/>
    </xf>
    <xf numFmtId="44" fontId="8" fillId="2" borderId="17" xfId="6" applyFont="1" applyFill="1" applyBorder="1" applyAlignment="1">
      <alignment horizontal="left" vertical="center" wrapText="1" indent="2"/>
    </xf>
    <xf numFmtId="0" fontId="13" fillId="2" borderId="22" xfId="1" applyFont="1" applyFill="1" applyBorder="1" applyAlignment="1">
      <alignment horizontal="left" vertical="center" wrapText="1" indent="2"/>
    </xf>
    <xf numFmtId="49" fontId="27" fillId="2" borderId="2" xfId="1" applyNumberFormat="1" applyFont="1" applyFill="1" applyBorder="1" applyAlignment="1">
      <alignment horizontal="left" vertical="top" wrapText="1" indent="2"/>
    </xf>
    <xf numFmtId="0" fontId="13" fillId="2" borderId="2" xfId="0" applyFont="1" applyFill="1" applyBorder="1" applyAlignment="1">
      <alignment horizontal="left" vertical="top" wrapText="1" indent="2"/>
    </xf>
    <xf numFmtId="49" fontId="8" fillId="2" borderId="22" xfId="5" applyNumberFormat="1" applyFont="1" applyFill="1" applyBorder="1" applyAlignment="1">
      <alignment horizontal="left" vertical="top" wrapText="1" indent="2"/>
    </xf>
    <xf numFmtId="49" fontId="8" fillId="2" borderId="2" xfId="5" applyNumberFormat="1" applyFont="1" applyFill="1" applyBorder="1" applyAlignment="1">
      <alignment horizontal="left" vertical="top" wrapText="1" indent="2"/>
    </xf>
    <xf numFmtId="49" fontId="27" fillId="2" borderId="17" xfId="5" applyNumberFormat="1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wrapText="1" indent="2"/>
    </xf>
    <xf numFmtId="0" fontId="27" fillId="2" borderId="2" xfId="0" applyFont="1" applyFill="1" applyBorder="1" applyAlignment="1">
      <alignment horizontal="left" vertical="center" wrapText="1" indent="2"/>
    </xf>
    <xf numFmtId="44" fontId="27" fillId="2" borderId="2" xfId="6" applyFont="1" applyFill="1" applyBorder="1" applyAlignment="1">
      <alignment horizontal="left" vertical="center" wrapText="1" indent="2"/>
    </xf>
    <xf numFmtId="0" fontId="40" fillId="3" borderId="31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vertical="center"/>
    </xf>
    <xf numFmtId="0" fontId="40" fillId="3" borderId="34" xfId="0" applyFont="1" applyFill="1" applyBorder="1" applyAlignment="1">
      <alignment vertical="center" wrapText="1"/>
    </xf>
    <xf numFmtId="0" fontId="40" fillId="3" borderId="33" xfId="0" applyFont="1" applyFill="1" applyBorder="1" applyAlignment="1">
      <alignment horizontal="center" vertical="center" wrapText="1"/>
    </xf>
    <xf numFmtId="0" fontId="40" fillId="3" borderId="34" xfId="0" applyFont="1" applyFill="1" applyBorder="1" applyAlignment="1">
      <alignment vertical="center"/>
    </xf>
    <xf numFmtId="0" fontId="8" fillId="0" borderId="0" xfId="0" applyFont="1"/>
    <xf numFmtId="4" fontId="6" fillId="0" borderId="32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46" fillId="0" borderId="34" xfId="0" applyNumberFormat="1" applyFont="1" applyBorder="1" applyAlignment="1">
      <alignment horizontal="right" vertical="center" wrapText="1"/>
    </xf>
    <xf numFmtId="4" fontId="47" fillId="0" borderId="3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49" fontId="8" fillId="0" borderId="2" xfId="5" applyNumberFormat="1" applyFont="1" applyBorder="1" applyAlignment="1">
      <alignment horizontal="left" vertic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6" fontId="8" fillId="0" borderId="16" xfId="5" applyNumberFormat="1" applyFont="1" applyBorder="1" applyAlignment="1">
      <alignment horizontal="right" vertical="center" wrapText="1"/>
    </xf>
    <xf numFmtId="0" fontId="6" fillId="0" borderId="0" xfId="0" applyFont="1"/>
    <xf numFmtId="166" fontId="6" fillId="0" borderId="0" xfId="0" applyNumberFormat="1" applyFont="1"/>
    <xf numFmtId="0" fontId="6" fillId="0" borderId="0" xfId="0" applyFont="1" applyAlignment="1">
      <alignment horizontal="justify" vertical="center" wrapText="1"/>
    </xf>
    <xf numFmtId="166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3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/>
    <xf numFmtId="0" fontId="1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vertical="center" wrapText="1"/>
    </xf>
    <xf numFmtId="49" fontId="8" fillId="0" borderId="1" xfId="5" applyNumberFormat="1" applyFont="1" applyBorder="1" applyAlignment="1">
      <alignment horizontal="left" vertical="center" wrapText="1" indent="2"/>
    </xf>
    <xf numFmtId="49" fontId="9" fillId="0" borderId="1" xfId="5" applyNumberFormat="1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38" fillId="0" borderId="0" xfId="0" applyFont="1"/>
    <xf numFmtId="49" fontId="10" fillId="0" borderId="1" xfId="5" applyNumberFormat="1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15" fillId="0" borderId="0" xfId="0" applyFont="1"/>
    <xf numFmtId="0" fontId="8" fillId="0" borderId="0" xfId="3" applyFont="1"/>
    <xf numFmtId="0" fontId="6" fillId="0" borderId="0" xfId="3" applyFont="1"/>
    <xf numFmtId="0" fontId="16" fillId="0" borderId="0" xfId="3" applyFont="1" applyAlignment="1">
      <alignment wrapText="1"/>
    </xf>
    <xf numFmtId="0" fontId="16" fillId="0" borderId="0" xfId="3" applyFont="1"/>
    <xf numFmtId="0" fontId="8" fillId="0" borderId="0" xfId="3" applyFont="1" applyAlignment="1">
      <alignment wrapText="1"/>
    </xf>
    <xf numFmtId="0" fontId="7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20" fillId="0" borderId="9" xfId="3" applyFont="1" applyBorder="1" applyAlignment="1">
      <alignment horizontal="left" vertical="center"/>
    </xf>
    <xf numFmtId="49" fontId="6" fillId="0" borderId="10" xfId="3" applyNumberFormat="1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 wrapText="1"/>
    </xf>
    <xf numFmtId="166" fontId="36" fillId="0" borderId="11" xfId="1" applyNumberFormat="1" applyFont="1" applyBorder="1" applyAlignment="1">
      <alignment horizontal="right" vertical="center" wrapText="1"/>
    </xf>
    <xf numFmtId="0" fontId="23" fillId="0" borderId="0" xfId="0" applyFont="1"/>
    <xf numFmtId="0" fontId="8" fillId="0" borderId="20" xfId="3" applyFont="1" applyBorder="1" applyAlignment="1">
      <alignment horizontal="left" vertical="center" wrapText="1"/>
    </xf>
    <xf numFmtId="49" fontId="8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166" fontId="8" fillId="0" borderId="21" xfId="3" applyNumberFormat="1" applyFont="1" applyBorder="1" applyAlignment="1">
      <alignment vertical="center"/>
    </xf>
    <xf numFmtId="0" fontId="8" fillId="0" borderId="2" xfId="3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6" fontId="8" fillId="0" borderId="16" xfId="3" applyNumberFormat="1" applyFont="1" applyBorder="1" applyAlignment="1">
      <alignment vertical="center"/>
    </xf>
    <xf numFmtId="0" fontId="8" fillId="0" borderId="2" xfId="5" applyFont="1" applyBorder="1" applyAlignment="1">
      <alignment horizontal="left" vertical="center" wrapText="1"/>
    </xf>
    <xf numFmtId="49" fontId="8" fillId="0" borderId="22" xfId="5" applyNumberFormat="1" applyFont="1" applyBorder="1" applyAlignment="1">
      <alignment horizontal="left" vertical="center" wrapText="1"/>
    </xf>
    <xf numFmtId="49" fontId="8" fillId="0" borderId="4" xfId="5" applyNumberFormat="1" applyFont="1" applyBorder="1" applyAlignment="1">
      <alignment horizontal="center" vertical="center" wrapText="1"/>
    </xf>
    <xf numFmtId="166" fontId="8" fillId="0" borderId="23" xfId="5" applyNumberFormat="1" applyFont="1" applyBorder="1" applyAlignment="1">
      <alignment horizontal="right" vertical="center" wrapText="1"/>
    </xf>
    <xf numFmtId="49" fontId="20" fillId="0" borderId="9" xfId="5" applyNumberFormat="1" applyFont="1" applyBorder="1" applyAlignment="1">
      <alignment horizontal="left" vertical="center" wrapText="1"/>
    </xf>
    <xf numFmtId="49" fontId="20" fillId="0" borderId="10" xfId="5" applyNumberFormat="1" applyFont="1" applyBorder="1" applyAlignment="1">
      <alignment horizontal="center" vertical="center" wrapText="1"/>
    </xf>
    <xf numFmtId="166" fontId="20" fillId="0" borderId="11" xfId="5" applyNumberFormat="1" applyFont="1" applyBorder="1" applyAlignment="1">
      <alignment horizontal="right" vertical="center" wrapText="1"/>
    </xf>
    <xf numFmtId="0" fontId="20" fillId="0" borderId="0" xfId="3" applyFont="1"/>
    <xf numFmtId="0" fontId="37" fillId="0" borderId="0" xfId="0" applyFont="1"/>
    <xf numFmtId="49" fontId="8" fillId="0" borderId="20" xfId="5" applyNumberFormat="1" applyFont="1" applyBorder="1" applyAlignment="1">
      <alignment horizontal="left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66" fontId="8" fillId="0" borderId="21" xfId="5" applyNumberFormat="1" applyFont="1" applyBorder="1" applyAlignment="1">
      <alignment horizontal="right" vertical="center" wrapText="1"/>
    </xf>
    <xf numFmtId="0" fontId="13" fillId="0" borderId="2" xfId="2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left" vertical="center" wrapText="1"/>
    </xf>
    <xf numFmtId="49" fontId="20" fillId="0" borderId="10" xfId="3" applyNumberFormat="1" applyFont="1" applyBorder="1" applyAlignment="1">
      <alignment horizontal="center" vertical="center"/>
    </xf>
    <xf numFmtId="49" fontId="8" fillId="0" borderId="4" xfId="3" applyNumberFormat="1" applyFont="1" applyBorder="1" applyAlignment="1">
      <alignment horizontal="center" vertical="center"/>
    </xf>
    <xf numFmtId="166" fontId="24" fillId="0" borderId="11" xfId="1" applyNumberFormat="1" applyFont="1" applyBorder="1" applyAlignment="1">
      <alignment horizontal="right" vertical="center" wrapText="1"/>
    </xf>
    <xf numFmtId="0" fontId="4" fillId="0" borderId="0" xfId="3" applyFont="1"/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/>
    </xf>
    <xf numFmtId="0" fontId="18" fillId="2" borderId="1" xfId="4" applyFont="1" applyFill="1" applyBorder="1" applyAlignment="1">
      <alignment horizontal="left" vertical="center" wrapText="1"/>
    </xf>
    <xf numFmtId="0" fontId="17" fillId="2" borderId="1" xfId="4" applyFont="1" applyFill="1" applyBorder="1" applyAlignment="1">
      <alignment horizontal="left" vertical="center" wrapText="1"/>
    </xf>
    <xf numFmtId="1" fontId="4" fillId="2" borderId="1" xfId="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right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justify" vertical="center" wrapText="1"/>
    </xf>
    <xf numFmtId="166" fontId="42" fillId="3" borderId="34" xfId="0" applyNumberFormat="1" applyFont="1" applyFill="1" applyBorder="1" applyAlignment="1">
      <alignment horizontal="center" vertical="center" wrapText="1"/>
    </xf>
    <xf numFmtId="166" fontId="4" fillId="0" borderId="34" xfId="0" applyNumberFormat="1" applyFont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left" vertical="center" wrapText="1"/>
    </xf>
    <xf numFmtId="0" fontId="8" fillId="2" borderId="2" xfId="3" applyFont="1" applyFill="1" applyBorder="1" applyAlignment="1">
      <alignment horizontal="left" vertical="center" wrapText="1"/>
    </xf>
    <xf numFmtId="49" fontId="10" fillId="2" borderId="2" xfId="5" applyNumberFormat="1" applyFont="1" applyFill="1" applyBorder="1" applyAlignment="1">
      <alignment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49" fontId="8" fillId="2" borderId="17" xfId="5" applyNumberFormat="1" applyFont="1" applyFill="1" applyBorder="1" applyAlignment="1">
      <alignment horizontal="left" vertical="center" wrapText="1" indent="2"/>
    </xf>
    <xf numFmtId="166" fontId="8" fillId="2" borderId="19" xfId="5" applyNumberFormat="1" applyFont="1" applyFill="1" applyBorder="1" applyAlignment="1">
      <alignment horizontal="right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12" fillId="2" borderId="20" xfId="2" applyFont="1" applyFill="1" applyBorder="1" applyAlignment="1">
      <alignment horizontal="left" vertical="center" wrapText="1"/>
    </xf>
    <xf numFmtId="166" fontId="10" fillId="2" borderId="21" xfId="5" applyNumberFormat="1" applyFont="1" applyFill="1" applyBorder="1" applyAlignment="1">
      <alignment horizontal="righ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7" fillId="2" borderId="20" xfId="5" applyNumberFormat="1" applyFont="1" applyFill="1" applyBorder="1" applyAlignment="1">
      <alignment vertical="center" wrapText="1"/>
    </xf>
    <xf numFmtId="166" fontId="8" fillId="2" borderId="21" xfId="5" applyNumberFormat="1" applyFont="1" applyFill="1" applyBorder="1" applyAlignment="1">
      <alignment horizontal="right" vertical="center" wrapText="1"/>
    </xf>
    <xf numFmtId="0" fontId="10" fillId="2" borderId="25" xfId="5" applyFont="1" applyFill="1" applyBorder="1" applyAlignment="1">
      <alignment horizontal="center"/>
    </xf>
    <xf numFmtId="0" fontId="8" fillId="2" borderId="14" xfId="5" applyFont="1" applyFill="1" applyBorder="1" applyAlignment="1">
      <alignment horizontal="center"/>
    </xf>
    <xf numFmtId="0" fontId="10" fillId="2" borderId="1" xfId="5" applyFont="1" applyFill="1" applyBorder="1" applyAlignment="1">
      <alignment horizontal="center"/>
    </xf>
    <xf numFmtId="0" fontId="11" fillId="2" borderId="13" xfId="1" applyFont="1" applyFill="1" applyBorder="1" applyAlignment="1">
      <alignment horizontal="left" vertical="center" wrapText="1"/>
    </xf>
    <xf numFmtId="166" fontId="9" fillId="2" borderId="26" xfId="5" applyNumberFormat="1" applyFont="1" applyFill="1" applyBorder="1" applyAlignment="1">
      <alignment horizontal="right" vertical="center"/>
    </xf>
    <xf numFmtId="166" fontId="9" fillId="2" borderId="9" xfId="5" applyNumberFormat="1" applyFont="1" applyFill="1" applyBorder="1" applyAlignment="1">
      <alignment horizontal="left" vertical="center" wrapText="1"/>
    </xf>
    <xf numFmtId="166" fontId="7" fillId="2" borderId="20" xfId="5" applyNumberFormat="1" applyFont="1" applyFill="1" applyBorder="1" applyAlignment="1">
      <alignment horizontal="left" vertical="center" wrapText="1"/>
    </xf>
    <xf numFmtId="166" fontId="7" fillId="2" borderId="3" xfId="5" applyNumberFormat="1" applyFont="1" applyFill="1" applyBorder="1" applyAlignment="1">
      <alignment horizontal="center" vertical="center" wrapText="1"/>
    </xf>
    <xf numFmtId="166" fontId="10" fillId="2" borderId="2" xfId="5" applyNumberFormat="1" applyFont="1" applyFill="1" applyBorder="1" applyAlignment="1">
      <alignment horizontal="left" vertical="center" wrapText="1"/>
    </xf>
    <xf numFmtId="0" fontId="10" fillId="2" borderId="1" xfId="5" applyFont="1" applyFill="1" applyBorder="1"/>
    <xf numFmtId="166" fontId="10" fillId="2" borderId="1" xfId="5" applyNumberFormat="1" applyFont="1" applyFill="1" applyBorder="1" applyAlignment="1">
      <alignment horizontal="center" vertical="center" wrapText="1"/>
    </xf>
    <xf numFmtId="166" fontId="10" fillId="2" borderId="16" xfId="5" applyNumberFormat="1" applyFont="1" applyFill="1" applyBorder="1"/>
    <xf numFmtId="166" fontId="8" fillId="2" borderId="2" xfId="5" applyNumberFormat="1" applyFont="1" applyFill="1" applyBorder="1" applyAlignment="1">
      <alignment horizontal="left" vertical="center" wrapText="1"/>
    </xf>
    <xf numFmtId="0" fontId="8" fillId="2" borderId="1" xfId="5" applyFont="1" applyFill="1" applyBorder="1"/>
    <xf numFmtId="166" fontId="8" fillId="2" borderId="1" xfId="5" applyNumberFormat="1" applyFont="1" applyFill="1" applyBorder="1" applyAlignment="1">
      <alignment horizontal="center" vertical="center" wrapText="1"/>
    </xf>
    <xf numFmtId="166" fontId="8" fillId="2" borderId="16" xfId="5" applyNumberFormat="1" applyFont="1" applyFill="1" applyBorder="1"/>
    <xf numFmtId="166" fontId="8" fillId="2" borderId="2" xfId="5" applyNumberFormat="1" applyFont="1" applyFill="1" applyBorder="1" applyAlignment="1">
      <alignment horizontal="left" vertical="center" wrapText="1" indent="2"/>
    </xf>
    <xf numFmtId="171" fontId="8" fillId="2" borderId="16" xfId="5" applyNumberFormat="1" applyFont="1" applyFill="1" applyBorder="1" applyAlignment="1">
      <alignment horizontal="right" vertical="center" wrapText="1"/>
    </xf>
    <xf numFmtId="166" fontId="8" fillId="2" borderId="18" xfId="5" applyNumberFormat="1" applyFont="1" applyFill="1" applyBorder="1" applyAlignment="1">
      <alignment horizontal="center" vertical="center" wrapText="1"/>
    </xf>
    <xf numFmtId="171" fontId="8" fillId="2" borderId="19" xfId="5" applyNumberFormat="1" applyFont="1" applyFill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right" vertical="center" wrapText="1"/>
    </xf>
    <xf numFmtId="0" fontId="4" fillId="0" borderId="33" xfId="0" applyFont="1" applyBorder="1" applyAlignment="1">
      <alignment vertical="center" wrapText="1"/>
    </xf>
    <xf numFmtId="10" fontId="42" fillId="3" borderId="34" xfId="0" applyNumberFormat="1" applyFont="1" applyFill="1" applyBorder="1" applyAlignment="1">
      <alignment horizontal="right" vertical="center"/>
    </xf>
    <xf numFmtId="166" fontId="5" fillId="0" borderId="34" xfId="0" applyNumberFormat="1" applyFont="1" applyBorder="1" applyAlignment="1">
      <alignment horizontal="right" vertical="center"/>
    </xf>
    <xf numFmtId="10" fontId="4" fillId="0" borderId="34" xfId="0" applyNumberFormat="1" applyFont="1" applyBorder="1" applyAlignment="1">
      <alignment horizontal="right" vertical="center"/>
    </xf>
    <xf numFmtId="166" fontId="42" fillId="3" borderId="34" xfId="0" applyNumberFormat="1" applyFont="1" applyFill="1" applyBorder="1" applyAlignment="1">
      <alignment horizontal="right" vertical="center" wrapText="1"/>
    </xf>
    <xf numFmtId="166" fontId="4" fillId="0" borderId="34" xfId="0" applyNumberFormat="1" applyFont="1" applyBorder="1" applyAlignment="1">
      <alignment horizontal="right" vertical="center" wrapText="1"/>
    </xf>
    <xf numFmtId="0" fontId="48" fillId="2" borderId="0" xfId="0" applyFont="1" applyFill="1"/>
    <xf numFmtId="0" fontId="13" fillId="2" borderId="9" xfId="1" applyFont="1" applyFill="1" applyBorder="1" applyAlignment="1">
      <alignment horizontal="left" vertical="center" wrapText="1"/>
    </xf>
    <xf numFmtId="166" fontId="8" fillId="2" borderId="10" xfId="1" applyNumberFormat="1" applyFont="1" applyFill="1" applyBorder="1" applyAlignment="1">
      <alignment vertical="center" wrapText="1"/>
    </xf>
    <xf numFmtId="166" fontId="8" fillId="2" borderId="11" xfId="1" applyNumberFormat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27" fillId="2" borderId="9" xfId="1" applyFont="1" applyFill="1" applyBorder="1" applyAlignment="1">
      <alignment horizontal="left" vertical="center" wrapText="1"/>
    </xf>
    <xf numFmtId="44" fontId="8" fillId="2" borderId="9" xfId="6" applyFont="1" applyFill="1" applyBorder="1" applyAlignment="1">
      <alignment horizontal="left" vertical="center" wrapText="1"/>
    </xf>
    <xf numFmtId="170" fontId="8" fillId="2" borderId="10" xfId="6" applyNumberFormat="1" applyFont="1" applyFill="1" applyBorder="1" applyAlignment="1">
      <alignment vertical="center" wrapText="1"/>
    </xf>
    <xf numFmtId="170" fontId="8" fillId="2" borderId="11" xfId="6" applyNumberFormat="1" applyFont="1" applyFill="1" applyBorder="1" applyAlignment="1">
      <alignment vertical="center" wrapText="1"/>
    </xf>
    <xf numFmtId="49" fontId="8" fillId="2" borderId="9" xfId="5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justify" vertical="center" wrapText="1"/>
    </xf>
    <xf numFmtId="166" fontId="8" fillId="2" borderId="10" xfId="5" applyNumberFormat="1" applyFont="1" applyFill="1" applyBorder="1" applyAlignment="1">
      <alignment horizontal="right" vertical="center" wrapText="1"/>
    </xf>
    <xf numFmtId="166" fontId="8" fillId="2" borderId="11" xfId="5" applyNumberFormat="1" applyFont="1" applyFill="1" applyBorder="1" applyAlignment="1">
      <alignment horizontal="right" vertical="center" wrapText="1"/>
    </xf>
    <xf numFmtId="0" fontId="40" fillId="2" borderId="9" xfId="0" applyFont="1" applyFill="1" applyBorder="1" applyAlignment="1">
      <alignment horizontal="left" wrapText="1"/>
    </xf>
    <xf numFmtId="0" fontId="7" fillId="2" borderId="0" xfId="0" applyFont="1" applyFill="1"/>
    <xf numFmtId="166" fontId="7" fillId="2" borderId="0" xfId="0" applyNumberFormat="1" applyFont="1" applyFill="1"/>
    <xf numFmtId="0" fontId="49" fillId="2" borderId="0" xfId="5" applyFont="1" applyFill="1"/>
    <xf numFmtId="0" fontId="50" fillId="2" borderId="0" xfId="5" applyFont="1" applyFill="1"/>
    <xf numFmtId="166" fontId="28" fillId="2" borderId="10" xfId="5" applyNumberFormat="1" applyFont="1" applyFill="1" applyBorder="1" applyAlignment="1">
      <alignment horizontal="right" vertical="center"/>
    </xf>
    <xf numFmtId="166" fontId="28" fillId="2" borderId="25" xfId="5" applyNumberFormat="1" applyFont="1" applyFill="1" applyBorder="1" applyAlignment="1">
      <alignment horizontal="right" vertical="center"/>
    </xf>
    <xf numFmtId="166" fontId="30" fillId="2" borderId="28" xfId="5" applyNumberFormat="1" applyFont="1" applyFill="1" applyBorder="1" applyAlignment="1">
      <alignment horizontal="right" vertical="center"/>
    </xf>
    <xf numFmtId="166" fontId="30" fillId="2" borderId="10" xfId="5" applyNumberFormat="1" applyFont="1" applyFill="1" applyBorder="1" applyAlignment="1">
      <alignment horizontal="right" vertical="center" wrapText="1"/>
    </xf>
    <xf numFmtId="166" fontId="28" fillId="2" borderId="3" xfId="5" applyNumberFormat="1" applyFont="1" applyFill="1" applyBorder="1" applyAlignment="1">
      <alignment horizontal="right" vertical="center" wrapText="1"/>
    </xf>
    <xf numFmtId="166" fontId="27" fillId="2" borderId="4" xfId="5" applyNumberFormat="1" applyFont="1" applyFill="1" applyBorder="1" applyAlignment="1">
      <alignment horizontal="right" vertical="center" wrapText="1"/>
    </xf>
    <xf numFmtId="166" fontId="30" fillId="2" borderId="10" xfId="5" applyNumberFormat="1" applyFont="1" applyFill="1" applyBorder="1" applyAlignment="1">
      <alignment horizontal="right" vertical="center"/>
    </xf>
    <xf numFmtId="166" fontId="30" fillId="2" borderId="25" xfId="5" applyNumberFormat="1" applyFont="1" applyFill="1" applyBorder="1" applyAlignment="1">
      <alignment horizontal="right" vertical="center" wrapText="1"/>
    </xf>
    <xf numFmtId="166" fontId="28" fillId="2" borderId="14" xfId="5" applyNumberFormat="1" applyFont="1" applyFill="1" applyBorder="1" applyAlignment="1">
      <alignment horizontal="right" vertical="center" wrapText="1"/>
    </xf>
    <xf numFmtId="166" fontId="30" fillId="2" borderId="3" xfId="5" applyNumberFormat="1" applyFont="1" applyFill="1" applyBorder="1" applyAlignment="1">
      <alignment horizontal="right" vertical="center" wrapText="1"/>
    </xf>
    <xf numFmtId="166" fontId="27" fillId="2" borderId="18" xfId="5" applyNumberFormat="1" applyFont="1" applyFill="1" applyBorder="1" applyAlignment="1">
      <alignment horizontal="right" vertical="center" wrapText="1"/>
    </xf>
    <xf numFmtId="166" fontId="30" fillId="2" borderId="14" xfId="5" applyNumberFormat="1" applyFont="1" applyFill="1" applyBorder="1" applyAlignment="1">
      <alignment horizontal="right" vertical="center" wrapText="1"/>
    </xf>
    <xf numFmtId="166" fontId="28" fillId="2" borderId="10" xfId="5" applyNumberFormat="1" applyFont="1" applyFill="1" applyBorder="1" applyAlignment="1">
      <alignment horizontal="right" vertical="center" wrapText="1"/>
    </xf>
    <xf numFmtId="166" fontId="29" fillId="2" borderId="3" xfId="5" applyNumberFormat="1" applyFont="1" applyFill="1" applyBorder="1" applyAlignment="1">
      <alignment horizontal="right" vertical="center" wrapText="1"/>
    </xf>
    <xf numFmtId="166" fontId="27" fillId="2" borderId="3" xfId="5" applyNumberFormat="1" applyFont="1" applyFill="1" applyBorder="1" applyAlignment="1">
      <alignment horizontal="right" vertical="center" wrapText="1"/>
    </xf>
    <xf numFmtId="166" fontId="27" fillId="2" borderId="1" xfId="5" applyNumberFormat="1" applyFont="1" applyFill="1" applyBorder="1" applyAlignment="1">
      <alignment horizontal="right" vertical="center"/>
    </xf>
    <xf numFmtId="166" fontId="30" fillId="2" borderId="25" xfId="5" applyNumberFormat="1" applyFont="1" applyFill="1" applyBorder="1" applyAlignment="1">
      <alignment horizontal="right" vertical="center"/>
    </xf>
    <xf numFmtId="166" fontId="29" fillId="2" borderId="1" xfId="5" applyNumberFormat="1" applyFont="1" applyFill="1" applyBorder="1"/>
    <xf numFmtId="166" fontId="27" fillId="2" borderId="1" xfId="5" applyNumberFormat="1" applyFont="1" applyFill="1" applyBorder="1"/>
    <xf numFmtId="171" fontId="27" fillId="2" borderId="1" xfId="5" applyNumberFormat="1" applyFont="1" applyFill="1" applyBorder="1" applyAlignment="1">
      <alignment horizontal="right" vertical="center" wrapText="1"/>
    </xf>
    <xf numFmtId="171" fontId="27" fillId="2" borderId="18" xfId="5" applyNumberFormat="1" applyFont="1" applyFill="1" applyBorder="1" applyAlignment="1">
      <alignment vertical="center"/>
    </xf>
    <xf numFmtId="166" fontId="8" fillId="2" borderId="0" xfId="4" applyNumberFormat="1" applyFont="1" applyFill="1"/>
    <xf numFmtId="166" fontId="5" fillId="0" borderId="0" xfId="5" applyNumberFormat="1" applyFont="1" applyAlignment="1">
      <alignment horizontal="center"/>
    </xf>
    <xf numFmtId="166" fontId="7" fillId="0" borderId="10" xfId="5" applyNumberFormat="1" applyFont="1" applyBorder="1" applyAlignment="1">
      <alignment horizontal="right" vertical="center"/>
    </xf>
    <xf numFmtId="166" fontId="7" fillId="0" borderId="25" xfId="5" applyNumberFormat="1" applyFont="1" applyBorder="1" applyAlignment="1">
      <alignment horizontal="right" vertical="center"/>
    </xf>
    <xf numFmtId="166" fontId="9" fillId="0" borderId="28" xfId="5" applyNumberFormat="1" applyFont="1" applyBorder="1" applyAlignment="1">
      <alignment horizontal="right" vertical="center"/>
    </xf>
    <xf numFmtId="166" fontId="9" fillId="0" borderId="10" xfId="5" applyNumberFormat="1" applyFont="1" applyBorder="1" applyAlignment="1">
      <alignment horizontal="right" vertical="center" wrapText="1"/>
    </xf>
    <xf numFmtId="166" fontId="7" fillId="0" borderId="3" xfId="5" applyNumberFormat="1" applyFont="1" applyBorder="1" applyAlignment="1">
      <alignment horizontal="right" vertical="center" wrapText="1"/>
    </xf>
    <xf numFmtId="166" fontId="10" fillId="0" borderId="1" xfId="5" applyNumberFormat="1" applyFont="1" applyBorder="1" applyAlignment="1">
      <alignment horizontal="right" vertical="center" wrapText="1"/>
    </xf>
    <xf numFmtId="166" fontId="8" fillId="0" borderId="1" xfId="5" applyNumberFormat="1" applyFont="1" applyBorder="1" applyAlignment="1">
      <alignment horizontal="right" vertical="center" wrapText="1"/>
    </xf>
    <xf numFmtId="166" fontId="8" fillId="0" borderId="4" xfId="5" applyNumberFormat="1" applyFont="1" applyBorder="1" applyAlignment="1">
      <alignment horizontal="right" vertical="center" wrapText="1"/>
    </xf>
    <xf numFmtId="166" fontId="9" fillId="0" borderId="10" xfId="5" applyNumberFormat="1" applyFont="1" applyBorder="1" applyAlignment="1">
      <alignment horizontal="right" vertical="center"/>
    </xf>
    <xf numFmtId="166" fontId="9" fillId="0" borderId="25" xfId="5" applyNumberFormat="1" applyFont="1" applyBorder="1" applyAlignment="1">
      <alignment horizontal="right" vertical="center" wrapText="1"/>
    </xf>
    <xf numFmtId="166" fontId="7" fillId="0" borderId="14" xfId="5" applyNumberFormat="1" applyFont="1" applyBorder="1" applyAlignment="1">
      <alignment horizontal="right" vertical="center" wrapText="1"/>
    </xf>
    <xf numFmtId="166" fontId="7" fillId="0" borderId="1" xfId="5" applyNumberFormat="1" applyFont="1" applyBorder="1" applyAlignment="1">
      <alignment horizontal="right" vertical="center" wrapText="1"/>
    </xf>
    <xf numFmtId="166" fontId="9" fillId="0" borderId="3" xfId="5" applyNumberFormat="1" applyFont="1" applyBorder="1" applyAlignment="1">
      <alignment horizontal="right" vertical="center" wrapText="1"/>
    </xf>
    <xf numFmtId="166" fontId="8" fillId="0" borderId="18" xfId="5" applyNumberFormat="1" applyFont="1" applyBorder="1" applyAlignment="1">
      <alignment horizontal="right" vertical="center" wrapText="1"/>
    </xf>
    <xf numFmtId="166" fontId="9" fillId="0" borderId="14" xfId="5" applyNumberFormat="1" applyFont="1" applyBorder="1" applyAlignment="1">
      <alignment horizontal="right" vertical="center" wrapText="1"/>
    </xf>
    <xf numFmtId="166" fontId="7" fillId="0" borderId="10" xfId="5" applyNumberFormat="1" applyFont="1" applyBorder="1" applyAlignment="1">
      <alignment horizontal="right" vertical="center" wrapText="1"/>
    </xf>
    <xf numFmtId="166" fontId="10" fillId="0" borderId="3" xfId="5" applyNumberFormat="1" applyFont="1" applyBorder="1" applyAlignment="1">
      <alignment horizontal="right" vertical="center" wrapText="1"/>
    </xf>
    <xf numFmtId="166" fontId="27" fillId="0" borderId="1" xfId="5" applyNumberFormat="1" applyFont="1" applyBorder="1" applyAlignment="1">
      <alignment horizontal="right" vertical="center" wrapText="1"/>
    </xf>
    <xf numFmtId="166" fontId="28" fillId="0" borderId="1" xfId="5" applyNumberFormat="1" applyFont="1" applyBorder="1" applyAlignment="1">
      <alignment horizontal="right" vertical="center" wrapText="1"/>
    </xf>
    <xf numFmtId="166" fontId="29" fillId="0" borderId="1" xfId="5" applyNumberFormat="1" applyFont="1" applyBorder="1" applyAlignment="1">
      <alignment horizontal="right" vertical="center" wrapText="1"/>
    </xf>
    <xf numFmtId="166" fontId="8" fillId="0" borderId="3" xfId="5" applyNumberFormat="1" applyFont="1" applyBorder="1" applyAlignment="1">
      <alignment horizontal="right" vertical="center" wrapText="1"/>
    </xf>
    <xf numFmtId="166" fontId="8" fillId="0" borderId="1" xfId="5" applyNumberFormat="1" applyFont="1" applyBorder="1" applyAlignment="1">
      <alignment horizontal="right" vertical="center"/>
    </xf>
    <xf numFmtId="166" fontId="9" fillId="0" borderId="25" xfId="5" applyNumberFormat="1" applyFont="1" applyBorder="1" applyAlignment="1">
      <alignment horizontal="right" vertical="center"/>
    </xf>
    <xf numFmtId="166" fontId="10" fillId="0" borderId="1" xfId="5" applyNumberFormat="1" applyFont="1" applyBorder="1"/>
    <xf numFmtId="166" fontId="8" fillId="0" borderId="1" xfId="5" applyNumberFormat="1" applyFont="1" applyBorder="1"/>
    <xf numFmtId="171" fontId="8" fillId="0" borderId="1" xfId="5" applyNumberFormat="1" applyFont="1" applyBorder="1" applyAlignment="1">
      <alignment horizontal="right" vertical="center" wrapText="1"/>
    </xf>
    <xf numFmtId="171" fontId="8" fillId="0" borderId="18" xfId="5" applyNumberFormat="1" applyFont="1" applyBorder="1" applyAlignment="1">
      <alignment horizontal="right" vertical="center" wrapText="1"/>
    </xf>
    <xf numFmtId="0" fontId="4" fillId="0" borderId="0" xfId="5" applyFont="1" applyAlignment="1">
      <alignment horizontal="right"/>
    </xf>
    <xf numFmtId="166" fontId="47" fillId="0" borderId="31" xfId="0" applyNumberFormat="1" applyFont="1" applyBorder="1" applyAlignment="1">
      <alignment horizontal="right" vertical="center" wrapText="1"/>
    </xf>
    <xf numFmtId="0" fontId="13" fillId="2" borderId="22" xfId="1" applyFont="1" applyFill="1" applyBorder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49" fontId="8" fillId="2" borderId="22" xfId="5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66" fontId="4" fillId="2" borderId="0" xfId="1" applyNumberFormat="1" applyFont="1" applyFill="1"/>
    <xf numFmtId="166" fontId="17" fillId="0" borderId="1" xfId="4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/>
    </xf>
    <xf numFmtId="0" fontId="2" fillId="0" borderId="0" xfId="3"/>
    <xf numFmtId="0" fontId="2" fillId="0" borderId="0" xfId="3" applyAlignment="1">
      <alignment horizontal="left"/>
    </xf>
    <xf numFmtId="0" fontId="2" fillId="0" borderId="0" xfId="3" applyAlignment="1">
      <alignment vertical="center"/>
    </xf>
    <xf numFmtId="0" fontId="4" fillId="0" borderId="0" xfId="3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 vertical="center"/>
    </xf>
    <xf numFmtId="0" fontId="51" fillId="0" borderId="0" xfId="3" applyFont="1"/>
    <xf numFmtId="0" fontId="52" fillId="0" borderId="0" xfId="3" applyFont="1"/>
    <xf numFmtId="166" fontId="52" fillId="0" borderId="0" xfId="3" applyNumberFormat="1" applyFont="1"/>
    <xf numFmtId="4" fontId="52" fillId="0" borderId="0" xfId="3" applyNumberFormat="1" applyFont="1"/>
    <xf numFmtId="0" fontId="53" fillId="0" borderId="0" xfId="3" applyFont="1"/>
    <xf numFmtId="0" fontId="52" fillId="0" borderId="0" xfId="3" applyFont="1" applyAlignment="1">
      <alignment horizontal="right"/>
    </xf>
    <xf numFmtId="166" fontId="53" fillId="0" borderId="0" xfId="3" applyNumberFormat="1" applyFont="1"/>
    <xf numFmtId="0" fontId="5" fillId="4" borderId="1" xfId="4" applyFont="1" applyFill="1" applyBorder="1" applyAlignment="1">
      <alignment horizontal="left" vertical="center" wrapText="1"/>
    </xf>
    <xf numFmtId="166" fontId="5" fillId="4" borderId="1" xfId="4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0" fontId="0" fillId="2" borderId="0" xfId="0" applyNumberFormat="1" applyFill="1"/>
    <xf numFmtId="166" fontId="45" fillId="5" borderId="1" xfId="4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13" fillId="2" borderId="41" xfId="1" applyFont="1" applyFill="1" applyBorder="1" applyAlignment="1">
      <alignment horizontal="center" vertical="center" wrapText="1"/>
    </xf>
    <xf numFmtId="0" fontId="8" fillId="2" borderId="42" xfId="1" applyFont="1" applyFill="1" applyBorder="1"/>
    <xf numFmtId="0" fontId="11" fillId="2" borderId="44" xfId="1" applyFont="1" applyFill="1" applyBorder="1" applyAlignment="1">
      <alignment horizontal="center" vertical="center" wrapText="1"/>
    </xf>
    <xf numFmtId="0" fontId="8" fillId="2" borderId="45" xfId="1" applyFont="1" applyFill="1" applyBorder="1" applyAlignment="1">
      <alignment horizontal="center"/>
    </xf>
    <xf numFmtId="49" fontId="27" fillId="2" borderId="22" xfId="5" applyNumberFormat="1" applyFont="1" applyFill="1" applyBorder="1" applyAlignment="1">
      <alignment horizontal="left" vertical="center" wrapText="1" indent="2"/>
    </xf>
    <xf numFmtId="166" fontId="27" fillId="2" borderId="4" xfId="5" applyNumberFormat="1" applyFont="1" applyFill="1" applyBorder="1" applyAlignment="1">
      <alignment vertical="center" wrapText="1"/>
    </xf>
    <xf numFmtId="166" fontId="27" fillId="2" borderId="23" xfId="5" applyNumberFormat="1" applyFont="1" applyFill="1" applyBorder="1" applyAlignment="1">
      <alignment vertical="center" wrapText="1"/>
    </xf>
    <xf numFmtId="166" fontId="11" fillId="2" borderId="46" xfId="1" applyNumberFormat="1" applyFont="1" applyFill="1" applyBorder="1" applyAlignment="1">
      <alignment vertical="center"/>
    </xf>
    <xf numFmtId="0" fontId="11" fillId="2" borderId="24" xfId="1" applyFont="1" applyFill="1" applyBorder="1" applyAlignment="1">
      <alignment horizontal="left" vertical="center" wrapText="1"/>
    </xf>
    <xf numFmtId="166" fontId="7" fillId="2" borderId="25" xfId="1" applyNumberFormat="1" applyFont="1" applyFill="1" applyBorder="1" applyAlignment="1">
      <alignment vertical="center" wrapText="1"/>
    </xf>
    <xf numFmtId="166" fontId="7" fillId="2" borderId="26" xfId="1" applyNumberFormat="1" applyFont="1" applyFill="1" applyBorder="1" applyAlignment="1">
      <alignment vertical="center" wrapText="1"/>
    </xf>
    <xf numFmtId="0" fontId="3" fillId="2" borderId="1" xfId="0" applyFont="1" applyFill="1" applyBorder="1"/>
    <xf numFmtId="166" fontId="8" fillId="2" borderId="1" xfId="0" applyNumberFormat="1" applyFont="1" applyFill="1" applyBorder="1"/>
    <xf numFmtId="0" fontId="48" fillId="2" borderId="1" xfId="0" applyFont="1" applyFill="1" applyBorder="1"/>
    <xf numFmtId="166" fontId="7" fillId="2" borderId="1" xfId="0" applyNumberFormat="1" applyFont="1" applyFill="1" applyBorder="1"/>
    <xf numFmtId="0" fontId="13" fillId="2" borderId="1" xfId="1" applyFont="1" applyFill="1" applyBorder="1" applyAlignment="1">
      <alignment vertical="center" wrapText="1"/>
    </xf>
    <xf numFmtId="166" fontId="13" fillId="2" borderId="1" xfId="1" applyNumberFormat="1" applyFont="1" applyFill="1" applyBorder="1" applyAlignment="1">
      <alignment vertical="center"/>
    </xf>
    <xf numFmtId="0" fontId="8" fillId="2" borderId="1" xfId="1" applyFont="1" applyFill="1" applyBorder="1"/>
    <xf numFmtId="166" fontId="8" fillId="2" borderId="1" xfId="1" applyNumberFormat="1" applyFont="1" applyFill="1" applyBorder="1"/>
    <xf numFmtId="0" fontId="13" fillId="2" borderId="43" xfId="1" applyFont="1" applyFill="1" applyBorder="1" applyAlignment="1">
      <alignment horizontal="center" vertical="center" wrapText="1"/>
    </xf>
    <xf numFmtId="0" fontId="13" fillId="2" borderId="4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/>
    </xf>
    <xf numFmtId="0" fontId="7" fillId="2" borderId="1" xfId="0" applyFont="1" applyFill="1" applyBorder="1"/>
    <xf numFmtId="166" fontId="11" fillId="2" borderId="42" xfId="1" applyNumberFormat="1" applyFont="1" applyFill="1" applyBorder="1" applyAlignment="1">
      <alignment vertical="center"/>
    </xf>
    <xf numFmtId="166" fontId="9" fillId="2" borderId="47" xfId="1" applyNumberFormat="1" applyFont="1" applyFill="1" applyBorder="1" applyAlignment="1">
      <alignment vertical="center" wrapText="1"/>
    </xf>
    <xf numFmtId="166" fontId="10" fillId="2" borderId="7" xfId="1" applyNumberFormat="1" applyFont="1" applyFill="1" applyBorder="1" applyAlignment="1">
      <alignment vertical="center" wrapText="1"/>
    </xf>
    <xf numFmtId="166" fontId="8" fillId="2" borderId="7" xfId="1" applyNumberFormat="1" applyFont="1" applyFill="1" applyBorder="1" applyAlignment="1">
      <alignment vertical="center" wrapText="1"/>
    </xf>
    <xf numFmtId="166" fontId="8" fillId="2" borderId="7" xfId="0" applyNumberFormat="1" applyFont="1" applyFill="1" applyBorder="1" applyAlignment="1">
      <alignment vertical="center" wrapText="1"/>
    </xf>
    <xf numFmtId="166" fontId="8" fillId="2" borderId="7" xfId="5" applyNumberFormat="1" applyFont="1" applyFill="1" applyBorder="1" applyAlignment="1">
      <alignment horizontal="right" vertical="center"/>
    </xf>
    <xf numFmtId="166" fontId="9" fillId="2" borderId="39" xfId="1" applyNumberFormat="1" applyFont="1" applyFill="1" applyBorder="1" applyAlignment="1">
      <alignment vertical="center" wrapText="1"/>
    </xf>
    <xf numFmtId="166" fontId="8" fillId="2" borderId="48" xfId="1" applyNumberFormat="1" applyFont="1" applyFill="1" applyBorder="1" applyAlignment="1">
      <alignment vertical="center" wrapText="1"/>
    </xf>
    <xf numFmtId="166" fontId="8" fillId="2" borderId="40" xfId="1" applyNumberFormat="1" applyFont="1" applyFill="1" applyBorder="1" applyAlignment="1">
      <alignment vertical="center" wrapText="1"/>
    </xf>
    <xf numFmtId="170" fontId="7" fillId="2" borderId="39" xfId="6" applyNumberFormat="1" applyFont="1" applyFill="1" applyBorder="1" applyAlignment="1">
      <alignment vertical="center" wrapText="1"/>
    </xf>
    <xf numFmtId="170" fontId="10" fillId="2" borderId="7" xfId="6" applyNumberFormat="1" applyFont="1" applyFill="1" applyBorder="1" applyAlignment="1">
      <alignment vertical="center" wrapText="1"/>
    </xf>
    <xf numFmtId="170" fontId="8" fillId="2" borderId="7" xfId="6" applyNumberFormat="1" applyFont="1" applyFill="1" applyBorder="1" applyAlignment="1">
      <alignment vertical="center" wrapText="1"/>
    </xf>
    <xf numFmtId="170" fontId="8" fillId="2" borderId="48" xfId="6" applyNumberFormat="1" applyFont="1" applyFill="1" applyBorder="1" applyAlignment="1">
      <alignment vertical="center" wrapText="1"/>
    </xf>
    <xf numFmtId="166" fontId="9" fillId="2" borderId="47" xfId="5" applyNumberFormat="1" applyFont="1" applyFill="1" applyBorder="1" applyAlignment="1">
      <alignment horizontal="right" vertical="center" wrapText="1"/>
    </xf>
    <xf numFmtId="166" fontId="10" fillId="2" borderId="7" xfId="5" applyNumberFormat="1" applyFont="1" applyFill="1" applyBorder="1" applyAlignment="1">
      <alignment horizontal="right" vertical="center" wrapText="1"/>
    </xf>
    <xf numFmtId="166" fontId="8" fillId="2" borderId="7" xfId="5" applyNumberFormat="1" applyFont="1" applyFill="1" applyBorder="1" applyAlignment="1">
      <alignment horizontal="right" vertical="center" wrapText="1"/>
    </xf>
    <xf numFmtId="166" fontId="9" fillId="2" borderId="7" xfId="5" applyNumberFormat="1" applyFont="1" applyFill="1" applyBorder="1" applyAlignment="1">
      <alignment horizontal="right" vertical="center" wrapText="1"/>
    </xf>
    <xf numFmtId="166" fontId="8" fillId="2" borderId="40" xfId="5" applyNumberFormat="1" applyFont="1" applyFill="1" applyBorder="1" applyAlignment="1">
      <alignment horizontal="right" vertical="center" wrapText="1"/>
    </xf>
    <xf numFmtId="166" fontId="9" fillId="2" borderId="7" xfId="1" applyNumberFormat="1" applyFont="1" applyFill="1" applyBorder="1" applyAlignment="1">
      <alignment vertical="center" wrapText="1"/>
    </xf>
    <xf numFmtId="166" fontId="7" fillId="2" borderId="42" xfId="1" applyNumberFormat="1" applyFont="1" applyFill="1" applyBorder="1"/>
    <xf numFmtId="166" fontId="7" fillId="2" borderId="49" xfId="5" applyNumberFormat="1" applyFont="1" applyFill="1" applyBorder="1" applyAlignment="1">
      <alignment vertical="center" wrapText="1"/>
    </xf>
    <xf numFmtId="166" fontId="9" fillId="2" borderId="39" xfId="5" applyNumberFormat="1" applyFont="1" applyFill="1" applyBorder="1" applyAlignment="1">
      <alignment vertical="center" wrapText="1"/>
    </xf>
    <xf numFmtId="166" fontId="10" fillId="2" borderId="7" xfId="5" applyNumberFormat="1" applyFont="1" applyFill="1" applyBorder="1" applyAlignment="1">
      <alignment vertical="center" wrapText="1"/>
    </xf>
    <xf numFmtId="166" fontId="8" fillId="2" borderId="7" xfId="5" applyNumberFormat="1" applyFont="1" applyFill="1" applyBorder="1" applyAlignment="1">
      <alignment vertical="center" wrapText="1"/>
    </xf>
    <xf numFmtId="166" fontId="9" fillId="2" borderId="7" xfId="5" applyNumberFormat="1" applyFont="1" applyFill="1" applyBorder="1" applyAlignment="1">
      <alignment vertical="center" wrapText="1"/>
    </xf>
    <xf numFmtId="166" fontId="8" fillId="2" borderId="7" xfId="5" applyNumberFormat="1" applyFont="1" applyFill="1" applyBorder="1" applyAlignment="1">
      <alignment vertical="center"/>
    </xf>
    <xf numFmtId="166" fontId="9" fillId="2" borderId="7" xfId="5" applyNumberFormat="1" applyFont="1" applyFill="1" applyBorder="1" applyAlignment="1">
      <alignment vertical="center"/>
    </xf>
    <xf numFmtId="166" fontId="10" fillId="2" borderId="7" xfId="5" applyNumberFormat="1" applyFont="1" applyFill="1" applyBorder="1" applyAlignment="1">
      <alignment vertical="center"/>
    </xf>
    <xf numFmtId="166" fontId="8" fillId="2" borderId="40" xfId="5" applyNumberFormat="1" applyFont="1" applyFill="1" applyBorder="1" applyAlignment="1">
      <alignment vertical="center"/>
    </xf>
    <xf numFmtId="166" fontId="7" fillId="2" borderId="42" xfId="5" applyNumberFormat="1" applyFont="1" applyFill="1" applyBorder="1" applyAlignment="1">
      <alignment vertical="center" wrapText="1"/>
    </xf>
    <xf numFmtId="166" fontId="9" fillId="2" borderId="47" xfId="5" applyNumberFormat="1" applyFont="1" applyFill="1" applyBorder="1" applyAlignment="1">
      <alignment vertical="center" wrapText="1"/>
    </xf>
    <xf numFmtId="166" fontId="8" fillId="2" borderId="40" xfId="5" applyNumberFormat="1" applyFont="1" applyFill="1" applyBorder="1" applyAlignment="1">
      <alignment vertical="center" wrapText="1"/>
    </xf>
    <xf numFmtId="166" fontId="27" fillId="2" borderId="7" xfId="5" applyNumberFormat="1" applyFont="1" applyFill="1" applyBorder="1" applyAlignment="1">
      <alignment vertical="center" wrapText="1"/>
    </xf>
    <xf numFmtId="166" fontId="27" fillId="2" borderId="40" xfId="5" applyNumberFormat="1" applyFont="1" applyFill="1" applyBorder="1" applyAlignment="1">
      <alignment vertical="center" wrapText="1"/>
    </xf>
    <xf numFmtId="10" fontId="8" fillId="2" borderId="10" xfId="1" applyNumberFormat="1" applyFont="1" applyFill="1" applyBorder="1" applyAlignment="1">
      <alignment vertical="center" wrapText="1"/>
    </xf>
    <xf numFmtId="10" fontId="8" fillId="2" borderId="10" xfId="6" applyNumberFormat="1" applyFont="1" applyFill="1" applyBorder="1" applyAlignment="1">
      <alignment vertical="center" wrapText="1"/>
    </xf>
    <xf numFmtId="10" fontId="8" fillId="2" borderId="10" xfId="5" applyNumberFormat="1" applyFont="1" applyFill="1" applyBorder="1" applyAlignment="1">
      <alignment horizontal="right" vertical="center" wrapText="1"/>
    </xf>
    <xf numFmtId="0" fontId="4" fillId="2" borderId="1" xfId="1" applyFont="1" applyFill="1" applyBorder="1"/>
    <xf numFmtId="166" fontId="28" fillId="2" borderId="42" xfId="5" applyNumberFormat="1" applyFont="1" applyFill="1" applyBorder="1" applyAlignment="1">
      <alignment horizontal="right" vertical="center"/>
    </xf>
    <xf numFmtId="166" fontId="28" fillId="2" borderId="49" xfId="5" applyNumberFormat="1" applyFont="1" applyFill="1" applyBorder="1" applyAlignment="1">
      <alignment horizontal="right" vertical="center"/>
    </xf>
    <xf numFmtId="166" fontId="30" fillId="2" borderId="42" xfId="5" applyNumberFormat="1" applyFont="1" applyFill="1" applyBorder="1" applyAlignment="1">
      <alignment horizontal="right" vertical="center" wrapText="1"/>
    </xf>
    <xf numFmtId="166" fontId="28" fillId="2" borderId="47" xfId="5" applyNumberFormat="1" applyFont="1" applyFill="1" applyBorder="1" applyAlignment="1">
      <alignment horizontal="right" vertical="center" wrapText="1"/>
    </xf>
    <xf numFmtId="166" fontId="29" fillId="2" borderId="7" xfId="5" applyNumberFormat="1" applyFont="1" applyFill="1" applyBorder="1" applyAlignment="1">
      <alignment horizontal="right" vertical="center" wrapText="1"/>
    </xf>
    <xf numFmtId="166" fontId="27" fillId="2" borderId="7" xfId="5" applyNumberFormat="1" applyFont="1" applyFill="1" applyBorder="1" applyAlignment="1">
      <alignment horizontal="right" vertical="center" wrapText="1"/>
    </xf>
    <xf numFmtId="166" fontId="27" fillId="2" borderId="40" xfId="5" applyNumberFormat="1" applyFont="1" applyFill="1" applyBorder="1" applyAlignment="1">
      <alignment horizontal="right" vertical="center" wrapText="1"/>
    </xf>
    <xf numFmtId="166" fontId="30" fillId="2" borderId="49" xfId="5" applyNumberFormat="1" applyFont="1" applyFill="1" applyBorder="1" applyAlignment="1">
      <alignment horizontal="right" vertical="center" wrapText="1"/>
    </xf>
    <xf numFmtId="166" fontId="28" fillId="2" borderId="39" xfId="5" applyNumberFormat="1" applyFont="1" applyFill="1" applyBorder="1" applyAlignment="1">
      <alignment horizontal="right" vertical="center" wrapText="1"/>
    </xf>
    <xf numFmtId="166" fontId="28" fillId="2" borderId="7" xfId="5" applyNumberFormat="1" applyFont="1" applyFill="1" applyBorder="1" applyAlignment="1">
      <alignment horizontal="right" vertical="center" wrapText="1"/>
    </xf>
    <xf numFmtId="166" fontId="30" fillId="2" borderId="47" xfId="5" applyNumberFormat="1" applyFont="1" applyFill="1" applyBorder="1" applyAlignment="1">
      <alignment horizontal="right" vertical="center" wrapText="1"/>
    </xf>
    <xf numFmtId="166" fontId="27" fillId="2" borderId="48" xfId="5" applyNumberFormat="1" applyFont="1" applyFill="1" applyBorder="1" applyAlignment="1">
      <alignment horizontal="right" vertical="center" wrapText="1"/>
    </xf>
    <xf numFmtId="166" fontId="30" fillId="2" borderId="39" xfId="5" applyNumberFormat="1" applyFont="1" applyFill="1" applyBorder="1" applyAlignment="1">
      <alignment horizontal="right" vertical="center" wrapText="1"/>
    </xf>
    <xf numFmtId="166" fontId="28" fillId="2" borderId="42" xfId="5" applyNumberFormat="1" applyFont="1" applyFill="1" applyBorder="1" applyAlignment="1">
      <alignment horizontal="right" vertical="center" wrapText="1"/>
    </xf>
    <xf numFmtId="166" fontId="29" fillId="2" borderId="47" xfId="5" applyNumberFormat="1" applyFont="1" applyFill="1" applyBorder="1" applyAlignment="1">
      <alignment horizontal="right" vertical="center" wrapText="1"/>
    </xf>
    <xf numFmtId="166" fontId="27" fillId="2" borderId="47" xfId="5" applyNumberFormat="1" applyFont="1" applyFill="1" applyBorder="1" applyAlignment="1">
      <alignment horizontal="right" vertical="center" wrapText="1"/>
    </xf>
    <xf numFmtId="166" fontId="27" fillId="2" borderId="7" xfId="5" applyNumberFormat="1" applyFont="1" applyFill="1" applyBorder="1" applyAlignment="1">
      <alignment horizontal="right" vertical="center"/>
    </xf>
    <xf numFmtId="166" fontId="30" fillId="2" borderId="49" xfId="5" applyNumberFormat="1" applyFont="1" applyFill="1" applyBorder="1" applyAlignment="1">
      <alignment horizontal="right" vertical="center"/>
    </xf>
    <xf numFmtId="166" fontId="29" fillId="2" borderId="7" xfId="5" applyNumberFormat="1" applyFont="1" applyFill="1" applyBorder="1"/>
    <xf numFmtId="166" fontId="27" fillId="2" borderId="7" xfId="5" applyNumberFormat="1" applyFont="1" applyFill="1" applyBorder="1"/>
    <xf numFmtId="171" fontId="27" fillId="2" borderId="7" xfId="5" applyNumberFormat="1" applyFont="1" applyFill="1" applyBorder="1" applyAlignment="1">
      <alignment horizontal="right" vertical="center" wrapText="1"/>
    </xf>
    <xf numFmtId="171" fontId="27" fillId="2" borderId="48" xfId="5" applyNumberFormat="1" applyFont="1" applyFill="1" applyBorder="1" applyAlignment="1">
      <alignment vertical="center"/>
    </xf>
    <xf numFmtId="49" fontId="8" fillId="2" borderId="0" xfId="5" applyNumberFormat="1" applyFont="1" applyFill="1" applyAlignment="1">
      <alignment horizontal="center" vertical="center" wrapText="1"/>
    </xf>
    <xf numFmtId="166" fontId="7" fillId="2" borderId="0" xfId="5" applyNumberFormat="1" applyFont="1" applyFill="1" applyAlignment="1">
      <alignment horizontal="right" vertical="center"/>
    </xf>
    <xf numFmtId="166" fontId="9" fillId="2" borderId="0" xfId="5" applyNumberFormat="1" applyFont="1" applyFill="1" applyAlignment="1">
      <alignment horizontal="right" vertical="center"/>
    </xf>
    <xf numFmtId="166" fontId="9" fillId="2" borderId="0" xfId="5" applyNumberFormat="1" applyFont="1" applyFill="1" applyAlignment="1">
      <alignment horizontal="right" vertical="center" wrapText="1"/>
    </xf>
    <xf numFmtId="166" fontId="7" fillId="2" borderId="0" xfId="5" applyNumberFormat="1" applyFont="1" applyFill="1" applyAlignment="1">
      <alignment horizontal="right" vertical="center" wrapText="1"/>
    </xf>
    <xf numFmtId="166" fontId="10" fillId="2" borderId="0" xfId="5" applyNumberFormat="1" applyFont="1" applyFill="1" applyAlignment="1">
      <alignment horizontal="right" vertical="center" wrapText="1"/>
    </xf>
    <xf numFmtId="166" fontId="8" fillId="2" borderId="0" xfId="5" applyNumberFormat="1" applyFont="1" applyFill="1" applyAlignment="1">
      <alignment horizontal="right" vertical="center" wrapText="1"/>
    </xf>
    <xf numFmtId="166" fontId="27" fillId="2" borderId="0" xfId="5" applyNumberFormat="1" applyFont="1" applyFill="1" applyAlignment="1">
      <alignment horizontal="right" vertical="center" wrapText="1"/>
    </xf>
    <xf numFmtId="166" fontId="28" fillId="2" borderId="0" xfId="5" applyNumberFormat="1" applyFont="1" applyFill="1" applyAlignment="1">
      <alignment horizontal="right" vertical="center" wrapText="1"/>
    </xf>
    <xf numFmtId="166" fontId="29" fillId="2" borderId="0" xfId="5" applyNumberFormat="1" applyFont="1" applyFill="1" applyAlignment="1">
      <alignment horizontal="right" vertical="center" wrapText="1"/>
    </xf>
    <xf numFmtId="166" fontId="8" fillId="2" borderId="0" xfId="5" applyNumberFormat="1" applyFont="1" applyFill="1" applyAlignment="1">
      <alignment horizontal="right" vertical="center"/>
    </xf>
    <xf numFmtId="166" fontId="10" fillId="2" borderId="0" xfId="5" applyNumberFormat="1" applyFont="1" applyFill="1"/>
    <xf numFmtId="166" fontId="8" fillId="2" borderId="0" xfId="5" applyNumberFormat="1" applyFont="1" applyFill="1"/>
    <xf numFmtId="171" fontId="8" fillId="2" borderId="0" xfId="5" applyNumberFormat="1" applyFont="1" applyFill="1" applyAlignment="1">
      <alignment horizontal="right" vertical="center" wrapText="1"/>
    </xf>
    <xf numFmtId="171" fontId="8" fillId="2" borderId="0" xfId="5" applyNumberFormat="1" applyFont="1" applyFill="1" applyAlignment="1">
      <alignment vertical="center"/>
    </xf>
    <xf numFmtId="172" fontId="9" fillId="0" borderId="28" xfId="5" applyNumberFormat="1" applyFont="1" applyBorder="1" applyAlignment="1">
      <alignment horizontal="right" vertical="center"/>
    </xf>
    <xf numFmtId="172" fontId="9" fillId="0" borderId="10" xfId="5" applyNumberFormat="1" applyFont="1" applyBorder="1" applyAlignment="1">
      <alignment horizontal="right" vertical="center"/>
    </xf>
    <xf numFmtId="172" fontId="9" fillId="0" borderId="10" xfId="5" applyNumberFormat="1" applyFont="1" applyBorder="1" applyAlignment="1">
      <alignment horizontal="right" vertical="center" wrapText="1"/>
    </xf>
    <xf numFmtId="172" fontId="30" fillId="2" borderId="42" xfId="5" applyNumberFormat="1" applyFont="1" applyFill="1" applyBorder="1" applyAlignment="1">
      <alignment horizontal="right" vertical="center"/>
    </xf>
    <xf numFmtId="172" fontId="30" fillId="2" borderId="42" xfId="5" applyNumberFormat="1" applyFont="1" applyFill="1" applyBorder="1" applyAlignment="1">
      <alignment horizontal="right" vertical="center" wrapText="1"/>
    </xf>
    <xf numFmtId="172" fontId="30" fillId="2" borderId="10" xfId="5" applyNumberFormat="1" applyFont="1" applyFill="1" applyBorder="1" applyAlignment="1">
      <alignment horizontal="right" vertical="center" wrapText="1"/>
    </xf>
    <xf numFmtId="172" fontId="30" fillId="2" borderId="50" xfId="5" applyNumberFormat="1" applyFont="1" applyFill="1" applyBorder="1" applyAlignment="1">
      <alignment horizontal="right" vertical="center"/>
    </xf>
    <xf numFmtId="166" fontId="8" fillId="0" borderId="10" xfId="5" applyNumberFormat="1" applyFont="1" applyBorder="1" applyAlignment="1">
      <alignment horizontal="center" vertical="center"/>
    </xf>
    <xf numFmtId="0" fontId="11" fillId="2" borderId="27" xfId="1" applyFont="1" applyFill="1" applyBorder="1" applyAlignment="1">
      <alignment vertical="center" wrapText="1"/>
    </xf>
    <xf numFmtId="0" fontId="11" fillId="2" borderId="28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 wrapText="1"/>
    </xf>
    <xf numFmtId="166" fontId="11" fillId="2" borderId="28" xfId="1" applyNumberFormat="1" applyFont="1" applyFill="1" applyBorder="1" applyAlignment="1">
      <alignment vertical="center"/>
    </xf>
    <xf numFmtId="166" fontId="11" fillId="2" borderId="29" xfId="1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horizontal="left" vertical="center" wrapText="1" indent="2"/>
    </xf>
    <xf numFmtId="49" fontId="13" fillId="2" borderId="2" xfId="0" applyNumberFormat="1" applyFont="1" applyFill="1" applyBorder="1" applyAlignment="1">
      <alignment vertical="center" wrapText="1"/>
    </xf>
    <xf numFmtId="49" fontId="13" fillId="2" borderId="2" xfId="1" applyNumberFormat="1" applyFont="1" applyFill="1" applyBorder="1" applyAlignment="1">
      <alignment vertical="center" wrapText="1"/>
    </xf>
    <xf numFmtId="166" fontId="4" fillId="2" borderId="1" xfId="3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49" fillId="0" borderId="0" xfId="3" applyFont="1"/>
    <xf numFmtId="0" fontId="49" fillId="0" borderId="0" xfId="3" applyFont="1" applyAlignment="1">
      <alignment horizontal="center" vertical="center"/>
    </xf>
    <xf numFmtId="4" fontId="56" fillId="0" borderId="0" xfId="3" applyNumberFormat="1" applyFont="1" applyAlignment="1">
      <alignment horizontal="left" vertical="center"/>
    </xf>
    <xf numFmtId="0" fontId="55" fillId="0" borderId="0" xfId="3" applyFont="1"/>
    <xf numFmtId="0" fontId="56" fillId="0" borderId="0" xfId="3" applyFont="1"/>
    <xf numFmtId="166" fontId="56" fillId="0" borderId="0" xfId="3" applyNumberFormat="1" applyFont="1"/>
    <xf numFmtId="0" fontId="56" fillId="0" borderId="0" xfId="3" applyFont="1" applyAlignment="1">
      <alignment horizontal="right"/>
    </xf>
    <xf numFmtId="166" fontId="55" fillId="0" borderId="0" xfId="3" applyNumberFormat="1" applyFont="1"/>
    <xf numFmtId="10" fontId="56" fillId="0" borderId="0" xfId="3" applyNumberFormat="1" applyFont="1"/>
    <xf numFmtId="9" fontId="56" fillId="0" borderId="0" xfId="3" applyNumberFormat="1" applyFont="1"/>
    <xf numFmtId="166" fontId="56" fillId="0" borderId="0" xfId="3" applyNumberFormat="1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20" fillId="2" borderId="1" xfId="4" applyFont="1" applyFill="1" applyBorder="1" applyAlignment="1">
      <alignment horizontal="left" vertical="center" wrapText="1"/>
    </xf>
    <xf numFmtId="0" fontId="5" fillId="2" borderId="0" xfId="4" applyFont="1" applyFill="1" applyAlignment="1">
      <alignment horizontal="center"/>
    </xf>
    <xf numFmtId="0" fontId="4" fillId="2" borderId="1" xfId="4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 wrapText="1"/>
    </xf>
    <xf numFmtId="49" fontId="8" fillId="0" borderId="4" xfId="5" applyNumberFormat="1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5" fillId="0" borderId="0" xfId="3" applyFont="1" applyAlignment="1">
      <alignment horizontal="center" wrapText="1"/>
    </xf>
    <xf numFmtId="0" fontId="7" fillId="0" borderId="28" xfId="3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right" vertical="center" wrapText="1"/>
    </xf>
    <xf numFmtId="0" fontId="44" fillId="3" borderId="32" xfId="0" applyFont="1" applyFill="1" applyBorder="1" applyAlignment="1">
      <alignment horizontal="right" vertical="center" wrapText="1"/>
    </xf>
    <xf numFmtId="0" fontId="45" fillId="0" borderId="0" xfId="0" applyFont="1" applyAlignment="1">
      <alignment horizontal="center" wrapText="1"/>
    </xf>
    <xf numFmtId="0" fontId="41" fillId="3" borderId="35" xfId="0" applyFont="1" applyFill="1" applyBorder="1" applyAlignment="1">
      <alignment horizontal="right" vertical="center" wrapText="1"/>
    </xf>
    <xf numFmtId="0" fontId="41" fillId="3" borderId="32" xfId="0" applyFont="1" applyFill="1" applyBorder="1" applyAlignment="1">
      <alignment horizontal="right" vertical="center" wrapText="1"/>
    </xf>
    <xf numFmtId="0" fontId="43" fillId="3" borderId="35" xfId="0" applyFont="1" applyFill="1" applyBorder="1" applyAlignment="1">
      <alignment horizontal="right" vertical="center" wrapText="1"/>
    </xf>
    <xf numFmtId="0" fontId="43" fillId="3" borderId="32" xfId="0" applyFont="1" applyFill="1" applyBorder="1" applyAlignment="1">
      <alignment horizontal="right" vertical="center" wrapText="1"/>
    </xf>
    <xf numFmtId="0" fontId="44" fillId="3" borderId="36" xfId="0" applyFont="1" applyFill="1" applyBorder="1" applyAlignment="1">
      <alignment horizontal="right" vertical="center" wrapText="1"/>
    </xf>
    <xf numFmtId="0" fontId="44" fillId="3" borderId="37" xfId="0" applyFont="1" applyFill="1" applyBorder="1" applyAlignment="1">
      <alignment horizontal="right" vertical="center" wrapText="1"/>
    </xf>
    <xf numFmtId="0" fontId="45" fillId="5" borderId="1" xfId="4" applyFont="1" applyFill="1" applyBorder="1" applyAlignment="1">
      <alignment horizontal="left" vertical="center" wrapText="1"/>
    </xf>
    <xf numFmtId="0" fontId="4" fillId="0" borderId="0" xfId="5" applyFont="1" applyFill="1"/>
    <xf numFmtId="0" fontId="4" fillId="0" borderId="0" xfId="5" applyFont="1" applyFill="1" applyAlignment="1">
      <alignment horizontal="center"/>
    </xf>
    <xf numFmtId="49" fontId="4" fillId="0" borderId="0" xfId="5" applyNumberFormat="1" applyFont="1" applyFill="1" applyAlignment="1">
      <alignment horizontal="center"/>
    </xf>
    <xf numFmtId="0" fontId="6" fillId="0" borderId="0" xfId="3" applyFont="1" applyFill="1"/>
    <xf numFmtId="0" fontId="6" fillId="0" borderId="0" xfId="3" applyFont="1" applyFill="1" applyAlignment="1">
      <alignment horizontal="left"/>
    </xf>
    <xf numFmtId="0" fontId="49" fillId="0" borderId="0" xfId="5" applyFont="1" applyFill="1"/>
    <xf numFmtId="0" fontId="6" fillId="0" borderId="0" xfId="0" applyFont="1" applyFill="1"/>
    <xf numFmtId="0" fontId="5" fillId="0" borderId="0" xfId="5" applyFont="1" applyFill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Alignment="1">
      <alignment horizontal="center"/>
    </xf>
    <xf numFmtId="166" fontId="5" fillId="0" borderId="0" xfId="5" applyNumberFormat="1" applyFont="1" applyFill="1" applyAlignment="1">
      <alignment horizontal="center"/>
    </xf>
    <xf numFmtId="0" fontId="50" fillId="0" borderId="0" xfId="5" applyFont="1" applyFill="1"/>
    <xf numFmtId="49" fontId="8" fillId="0" borderId="13" xfId="5" applyNumberFormat="1" applyFont="1" applyFill="1" applyBorder="1" applyAlignment="1">
      <alignment horizontal="center" vertical="center" wrapText="1"/>
    </xf>
    <xf numFmtId="49" fontId="8" fillId="0" borderId="14" xfId="5" applyNumberFormat="1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27" fillId="0" borderId="14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0" xfId="5" applyFont="1" applyFill="1"/>
    <xf numFmtId="49" fontId="8" fillId="0" borderId="22" xfId="5" applyNumberFormat="1" applyFont="1" applyFill="1" applyBorder="1" applyAlignment="1">
      <alignment horizontal="center" vertical="center" wrapText="1"/>
    </xf>
    <xf numFmtId="49" fontId="8" fillId="0" borderId="4" xfId="5" applyNumberFormat="1" applyFont="1" applyFill="1" applyBorder="1" applyAlignment="1">
      <alignment horizontal="center" vertical="center" wrapText="1"/>
    </xf>
    <xf numFmtId="49" fontId="8" fillId="0" borderId="4" xfId="5" applyNumberFormat="1" applyFont="1" applyFill="1" applyBorder="1" applyAlignment="1">
      <alignment horizontal="center" vertical="center" wrapText="1"/>
    </xf>
    <xf numFmtId="49" fontId="27" fillId="0" borderId="4" xfId="5" applyNumberFormat="1" applyFont="1" applyFill="1" applyBorder="1" applyAlignment="1">
      <alignment horizontal="center" vertical="center" wrapText="1"/>
    </xf>
    <xf numFmtId="49" fontId="8" fillId="0" borderId="23" xfId="5" applyNumberFormat="1" applyFont="1" applyFill="1" applyBorder="1" applyAlignment="1">
      <alignment horizontal="center" vertical="center" wrapText="1"/>
    </xf>
    <xf numFmtId="49" fontId="7" fillId="0" borderId="9" xfId="5" applyNumberFormat="1" applyFont="1" applyFill="1" applyBorder="1" applyAlignment="1">
      <alignment horizontal="left" vertical="center" wrapText="1"/>
    </xf>
    <xf numFmtId="49" fontId="7" fillId="0" borderId="10" xfId="5" applyNumberFormat="1" applyFont="1" applyFill="1" applyBorder="1" applyAlignment="1">
      <alignment horizontal="center" vertical="center" wrapText="1"/>
    </xf>
    <xf numFmtId="49" fontId="8" fillId="0" borderId="10" xfId="5" applyNumberFormat="1" applyFont="1" applyFill="1" applyBorder="1" applyAlignment="1">
      <alignment horizontal="center" vertical="center" wrapText="1"/>
    </xf>
    <xf numFmtId="166" fontId="7" fillId="0" borderId="10" xfId="5" applyNumberFormat="1" applyFont="1" applyFill="1" applyBorder="1" applyAlignment="1">
      <alignment horizontal="right" vertical="center"/>
    </xf>
    <xf numFmtId="166" fontId="28" fillId="0" borderId="10" xfId="5" applyNumberFormat="1" applyFont="1" applyFill="1" applyBorder="1" applyAlignment="1">
      <alignment horizontal="right" vertical="center"/>
    </xf>
    <xf numFmtId="166" fontId="7" fillId="0" borderId="11" xfId="5" applyNumberFormat="1" applyFont="1" applyFill="1" applyBorder="1" applyAlignment="1">
      <alignment horizontal="right" vertical="center"/>
    </xf>
    <xf numFmtId="0" fontId="7" fillId="0" borderId="0" xfId="5" applyFont="1" applyFill="1"/>
    <xf numFmtId="49" fontId="7" fillId="0" borderId="24" xfId="5" applyNumberFormat="1" applyFont="1" applyFill="1" applyBorder="1" applyAlignment="1">
      <alignment horizontal="left" vertical="center" wrapText="1"/>
    </xf>
    <xf numFmtId="49" fontId="7" fillId="0" borderId="25" xfId="5" applyNumberFormat="1" applyFont="1" applyFill="1" applyBorder="1" applyAlignment="1">
      <alignment horizontal="center" vertical="center" wrapText="1"/>
    </xf>
    <xf numFmtId="49" fontId="8" fillId="0" borderId="25" xfId="5" applyNumberFormat="1" applyFont="1" applyFill="1" applyBorder="1" applyAlignment="1">
      <alignment horizontal="center" vertical="center" wrapText="1"/>
    </xf>
    <xf numFmtId="166" fontId="7" fillId="0" borderId="25" xfId="5" applyNumberFormat="1" applyFont="1" applyFill="1" applyBorder="1" applyAlignment="1">
      <alignment horizontal="right" vertical="center"/>
    </xf>
    <xf numFmtId="166" fontId="28" fillId="0" borderId="25" xfId="5" applyNumberFormat="1" applyFont="1" applyFill="1" applyBorder="1" applyAlignment="1">
      <alignment horizontal="right" vertical="center"/>
    </xf>
    <xf numFmtId="166" fontId="7" fillId="0" borderId="26" xfId="5" applyNumberFormat="1" applyFont="1" applyFill="1" applyBorder="1" applyAlignment="1">
      <alignment horizontal="right" vertical="center"/>
    </xf>
    <xf numFmtId="49" fontId="9" fillId="0" borderId="27" xfId="5" applyNumberFormat="1" applyFont="1" applyFill="1" applyBorder="1" applyAlignment="1">
      <alignment horizontal="left" vertical="center" wrapText="1"/>
    </xf>
    <xf numFmtId="49" fontId="9" fillId="0" borderId="28" xfId="5" applyNumberFormat="1" applyFont="1" applyFill="1" applyBorder="1" applyAlignment="1">
      <alignment horizontal="center" vertical="center" wrapText="1"/>
    </xf>
    <xf numFmtId="49" fontId="10" fillId="0" borderId="28" xfId="5" applyNumberFormat="1" applyFont="1" applyFill="1" applyBorder="1" applyAlignment="1">
      <alignment horizontal="center" vertical="center" wrapText="1"/>
    </xf>
    <xf numFmtId="166" fontId="9" fillId="0" borderId="28" xfId="5" applyNumberFormat="1" applyFont="1" applyFill="1" applyBorder="1" applyAlignment="1">
      <alignment horizontal="right" vertical="center"/>
    </xf>
    <xf numFmtId="166" fontId="30" fillId="0" borderId="28" xfId="5" applyNumberFormat="1" applyFont="1" applyFill="1" applyBorder="1" applyAlignment="1">
      <alignment horizontal="right" vertical="center"/>
    </xf>
    <xf numFmtId="166" fontId="9" fillId="0" borderId="29" xfId="5" applyNumberFormat="1" applyFont="1" applyFill="1" applyBorder="1" applyAlignment="1">
      <alignment horizontal="right" vertical="center"/>
    </xf>
    <xf numFmtId="49" fontId="9" fillId="0" borderId="9" xfId="5" applyNumberFormat="1" applyFont="1" applyFill="1" applyBorder="1" applyAlignment="1">
      <alignment horizontal="left" vertical="center" wrapText="1"/>
    </xf>
    <xf numFmtId="49" fontId="9" fillId="0" borderId="10" xfId="5" applyNumberFormat="1" applyFont="1" applyFill="1" applyBorder="1" applyAlignment="1">
      <alignment horizontal="center" vertical="center" wrapText="1"/>
    </xf>
    <xf numFmtId="166" fontId="9" fillId="0" borderId="10" xfId="5" applyNumberFormat="1" applyFont="1" applyFill="1" applyBorder="1" applyAlignment="1">
      <alignment horizontal="right" vertical="center" wrapText="1"/>
    </xf>
    <xf numFmtId="166" fontId="30" fillId="0" borderId="10" xfId="5" applyNumberFormat="1" applyFont="1" applyFill="1" applyBorder="1" applyAlignment="1">
      <alignment horizontal="right" vertical="center" wrapText="1"/>
    </xf>
    <xf numFmtId="166" fontId="9" fillId="0" borderId="11" xfId="5" applyNumberFormat="1" applyFont="1" applyFill="1" applyBorder="1" applyAlignment="1">
      <alignment horizontal="right" vertical="center" wrapText="1"/>
    </xf>
    <xf numFmtId="0" fontId="9" fillId="0" borderId="0" xfId="5" applyFont="1" applyFill="1"/>
    <xf numFmtId="49" fontId="7" fillId="0" borderId="20" xfId="5" applyNumberFormat="1" applyFont="1" applyFill="1" applyBorder="1" applyAlignment="1">
      <alignment horizontal="left" vertical="center" wrapText="1"/>
    </xf>
    <xf numFmtId="49" fontId="7" fillId="0" borderId="3" xfId="5" applyNumberFormat="1" applyFont="1" applyFill="1" applyBorder="1" applyAlignment="1">
      <alignment horizontal="center" vertical="center" wrapText="1"/>
    </xf>
    <xf numFmtId="166" fontId="7" fillId="0" borderId="3" xfId="5" applyNumberFormat="1" applyFont="1" applyFill="1" applyBorder="1" applyAlignment="1">
      <alignment horizontal="right" vertical="center" wrapText="1"/>
    </xf>
    <xf numFmtId="166" fontId="28" fillId="0" borderId="3" xfId="5" applyNumberFormat="1" applyFont="1" applyFill="1" applyBorder="1" applyAlignment="1">
      <alignment horizontal="right" vertical="center" wrapText="1"/>
    </xf>
    <xf numFmtId="166" fontId="7" fillId="0" borderId="21" xfId="5" applyNumberFormat="1" applyFont="1" applyFill="1" applyBorder="1" applyAlignment="1">
      <alignment horizontal="right" vertical="center" wrapText="1"/>
    </xf>
    <xf numFmtId="49" fontId="10" fillId="0" borderId="2" xfId="5" applyNumberFormat="1" applyFont="1" applyFill="1" applyBorder="1" applyAlignment="1">
      <alignment horizontal="left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166" fontId="10" fillId="0" borderId="1" xfId="5" applyNumberFormat="1" applyFont="1" applyFill="1" applyBorder="1" applyAlignment="1">
      <alignment horizontal="right" vertical="center" wrapText="1"/>
    </xf>
    <xf numFmtId="166" fontId="29" fillId="0" borderId="1" xfId="5" applyNumberFormat="1" applyFont="1" applyFill="1" applyBorder="1" applyAlignment="1">
      <alignment horizontal="right" vertical="center" wrapText="1"/>
    </xf>
    <xf numFmtId="166" fontId="10" fillId="0" borderId="16" xfId="5" applyNumberFormat="1" applyFont="1" applyFill="1" applyBorder="1" applyAlignment="1">
      <alignment horizontal="right" vertical="center" wrapText="1"/>
    </xf>
    <xf numFmtId="49" fontId="8" fillId="0" borderId="2" xfId="5" applyNumberFormat="1" applyFont="1" applyFill="1" applyBorder="1" applyAlignment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right" vertical="center" wrapText="1"/>
    </xf>
    <xf numFmtId="166" fontId="27" fillId="0" borderId="1" xfId="5" applyNumberFormat="1" applyFont="1" applyFill="1" applyBorder="1" applyAlignment="1">
      <alignment horizontal="right" vertical="center" wrapText="1"/>
    </xf>
    <xf numFmtId="166" fontId="8" fillId="0" borderId="16" xfId="5" applyNumberFormat="1" applyFont="1" applyFill="1" applyBorder="1" applyAlignment="1">
      <alignment horizontal="right" vertical="center" wrapText="1"/>
    </xf>
    <xf numFmtId="49" fontId="8" fillId="0" borderId="2" xfId="5" applyNumberFormat="1" applyFont="1" applyFill="1" applyBorder="1" applyAlignment="1">
      <alignment horizontal="left" vertical="center" wrapText="1" indent="2"/>
    </xf>
    <xf numFmtId="0" fontId="8" fillId="0" borderId="2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8" fillId="0" borderId="22" xfId="5" applyNumberFormat="1" applyFont="1" applyFill="1" applyBorder="1" applyAlignment="1">
      <alignment horizontal="left" vertical="center" wrapText="1" indent="2"/>
    </xf>
    <xf numFmtId="166" fontId="8" fillId="0" borderId="4" xfId="5" applyNumberFormat="1" applyFont="1" applyFill="1" applyBorder="1" applyAlignment="1">
      <alignment horizontal="right" vertical="center" wrapText="1"/>
    </xf>
    <xf numFmtId="166" fontId="27" fillId="0" borderId="4" xfId="5" applyNumberFormat="1" applyFont="1" applyFill="1" applyBorder="1" applyAlignment="1">
      <alignment horizontal="right" vertical="center" wrapText="1"/>
    </xf>
    <xf numFmtId="166" fontId="8" fillId="0" borderId="23" xfId="5" applyNumberFormat="1" applyFont="1" applyFill="1" applyBorder="1" applyAlignment="1">
      <alignment horizontal="righ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left" vertical="center" wrapText="1"/>
    </xf>
    <xf numFmtId="49" fontId="7" fillId="0" borderId="2" xfId="5" applyNumberFormat="1" applyFont="1" applyFill="1" applyBorder="1" applyAlignment="1">
      <alignment horizontal="left" vertical="center" wrapText="1"/>
    </xf>
    <xf numFmtId="49" fontId="27" fillId="0" borderId="1" xfId="5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 indent="2"/>
    </xf>
    <xf numFmtId="49" fontId="9" fillId="0" borderId="9" xfId="5" applyNumberFormat="1" applyFont="1" applyFill="1" applyBorder="1" applyAlignment="1">
      <alignment vertical="center" wrapText="1"/>
    </xf>
    <xf numFmtId="49" fontId="10" fillId="0" borderId="10" xfId="5" applyNumberFormat="1" applyFont="1" applyFill="1" applyBorder="1" applyAlignment="1">
      <alignment horizontal="center" vertical="center" wrapText="1"/>
    </xf>
    <xf numFmtId="49" fontId="9" fillId="0" borderId="10" xfId="2" applyNumberFormat="1" applyFont="1" applyFill="1" applyBorder="1" applyAlignment="1">
      <alignment horizontal="center" vertical="center" wrapText="1"/>
    </xf>
    <xf numFmtId="49" fontId="10" fillId="0" borderId="10" xfId="2" applyNumberFormat="1" applyFont="1" applyFill="1" applyBorder="1" applyAlignment="1">
      <alignment horizontal="center" vertical="center" wrapText="1"/>
    </xf>
    <xf numFmtId="166" fontId="9" fillId="0" borderId="10" xfId="5" applyNumberFormat="1" applyFont="1" applyFill="1" applyBorder="1" applyAlignment="1">
      <alignment horizontal="right" vertical="center"/>
    </xf>
    <xf numFmtId="166" fontId="30" fillId="0" borderId="10" xfId="5" applyNumberFormat="1" applyFont="1" applyFill="1" applyBorder="1" applyAlignment="1">
      <alignment horizontal="right" vertical="center"/>
    </xf>
    <xf numFmtId="166" fontId="9" fillId="0" borderId="11" xfId="5" applyNumberFormat="1" applyFont="1" applyFill="1" applyBorder="1" applyAlignment="1">
      <alignment horizontal="right" vertical="center"/>
    </xf>
    <xf numFmtId="0" fontId="9" fillId="0" borderId="24" xfId="5" applyFont="1" applyFill="1" applyBorder="1" applyAlignment="1">
      <alignment horizontal="left" vertical="center" wrapText="1"/>
    </xf>
    <xf numFmtId="49" fontId="10" fillId="0" borderId="25" xfId="5" applyNumberFormat="1" applyFont="1" applyFill="1" applyBorder="1" applyAlignment="1">
      <alignment horizontal="center" vertical="center" wrapText="1"/>
    </xf>
    <xf numFmtId="49" fontId="9" fillId="0" borderId="25" xfId="2" applyNumberFormat="1" applyFont="1" applyFill="1" applyBorder="1" applyAlignment="1">
      <alignment horizontal="center" vertical="center" wrapText="1"/>
    </xf>
    <xf numFmtId="49" fontId="9" fillId="0" borderId="25" xfId="5" applyNumberFormat="1" applyFont="1" applyFill="1" applyBorder="1" applyAlignment="1">
      <alignment horizontal="center" vertical="center" wrapText="1"/>
    </xf>
    <xf numFmtId="166" fontId="9" fillId="0" borderId="25" xfId="5" applyNumberFormat="1" applyFont="1" applyFill="1" applyBorder="1" applyAlignment="1">
      <alignment horizontal="right" vertical="center" wrapText="1"/>
    </xf>
    <xf numFmtId="166" fontId="30" fillId="0" borderId="25" xfId="5" applyNumberFormat="1" applyFont="1" applyFill="1" applyBorder="1" applyAlignment="1">
      <alignment horizontal="right" vertical="center" wrapText="1"/>
    </xf>
    <xf numFmtId="166" fontId="9" fillId="0" borderId="26" xfId="5" applyNumberFormat="1" applyFont="1" applyFill="1" applyBorder="1" applyAlignment="1">
      <alignment horizontal="right" vertical="center" wrapText="1"/>
    </xf>
    <xf numFmtId="0" fontId="7" fillId="0" borderId="13" xfId="5" applyFont="1" applyFill="1" applyBorder="1" applyAlignment="1">
      <alignment horizontal="left" vertical="center" wrapText="1"/>
    </xf>
    <xf numFmtId="49" fontId="8" fillId="0" borderId="14" xfId="5" applyNumberFormat="1" applyFont="1" applyFill="1" applyBorder="1" applyAlignment="1">
      <alignment horizontal="center" vertical="center" wrapText="1"/>
    </xf>
    <xf numFmtId="49" fontId="7" fillId="0" borderId="14" xfId="2" applyNumberFormat="1" applyFont="1" applyFill="1" applyBorder="1" applyAlignment="1">
      <alignment horizontal="center" vertical="center" wrapText="1"/>
    </xf>
    <xf numFmtId="49" fontId="7" fillId="0" borderId="14" xfId="5" applyNumberFormat="1" applyFont="1" applyFill="1" applyBorder="1" applyAlignment="1">
      <alignment horizontal="center" vertical="center" wrapText="1"/>
    </xf>
    <xf numFmtId="166" fontId="7" fillId="0" borderId="14" xfId="5" applyNumberFormat="1" applyFont="1" applyFill="1" applyBorder="1" applyAlignment="1">
      <alignment horizontal="right" vertical="center" wrapText="1"/>
    </xf>
    <xf numFmtId="166" fontId="28" fillId="0" borderId="14" xfId="5" applyNumberFormat="1" applyFont="1" applyFill="1" applyBorder="1" applyAlignment="1">
      <alignment horizontal="right" vertical="center" wrapText="1"/>
    </xf>
    <xf numFmtId="166" fontId="7" fillId="0" borderId="15" xfId="5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10" fillId="0" borderId="0" xfId="5" applyFont="1" applyFill="1"/>
    <xf numFmtId="49" fontId="9" fillId="0" borderId="24" xfId="5" applyNumberFormat="1" applyFont="1" applyFill="1" applyBorder="1" applyAlignment="1">
      <alignment horizontal="left" vertical="center" wrapText="1"/>
    </xf>
    <xf numFmtId="49" fontId="7" fillId="0" borderId="13" xfId="5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166" fontId="7" fillId="0" borderId="1" xfId="5" applyNumberFormat="1" applyFont="1" applyFill="1" applyBorder="1" applyAlignment="1">
      <alignment horizontal="right" vertical="center" wrapText="1"/>
    </xf>
    <xf numFmtId="166" fontId="28" fillId="0" borderId="1" xfId="5" applyNumberFormat="1" applyFont="1" applyFill="1" applyBorder="1" applyAlignment="1">
      <alignment horizontal="right" vertical="center" wrapText="1"/>
    </xf>
    <xf numFmtId="166" fontId="7" fillId="0" borderId="16" xfId="5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13" fillId="0" borderId="1" xfId="1" applyFont="1" applyFill="1" applyBorder="1" applyAlignment="1">
      <alignment horizontal="center" vertical="center" wrapText="1"/>
    </xf>
    <xf numFmtId="0" fontId="1" fillId="0" borderId="0" xfId="5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49" fontId="9" fillId="0" borderId="20" xfId="5" applyNumberFormat="1" applyFont="1" applyFill="1" applyBorder="1" applyAlignment="1">
      <alignment horizontal="left" vertical="center" wrapText="1"/>
    </xf>
    <xf numFmtId="49" fontId="9" fillId="0" borderId="3" xfId="5" applyNumberFormat="1" applyFont="1" applyFill="1" applyBorder="1" applyAlignment="1">
      <alignment horizontal="center" vertical="center" wrapText="1"/>
    </xf>
    <xf numFmtId="166" fontId="9" fillId="0" borderId="3" xfId="5" applyNumberFormat="1" applyFont="1" applyFill="1" applyBorder="1" applyAlignment="1">
      <alignment horizontal="right" vertical="center" wrapText="1"/>
    </xf>
    <xf numFmtId="166" fontId="30" fillId="0" borderId="3" xfId="5" applyNumberFormat="1" applyFont="1" applyFill="1" applyBorder="1" applyAlignment="1">
      <alignment horizontal="right" vertical="center" wrapText="1"/>
    </xf>
    <xf numFmtId="166" fontId="9" fillId="0" borderId="21" xfId="5" applyNumberFormat="1" applyFont="1" applyFill="1" applyBorder="1" applyAlignment="1">
      <alignment horizontal="right" vertical="center" wrapText="1"/>
    </xf>
    <xf numFmtId="49" fontId="8" fillId="0" borderId="3" xfId="5" applyNumberFormat="1" applyFont="1" applyFill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49" fontId="8" fillId="0" borderId="17" xfId="5" applyNumberFormat="1" applyFont="1" applyFill="1" applyBorder="1" applyAlignment="1">
      <alignment horizontal="left" vertical="center" wrapText="1" indent="2"/>
    </xf>
    <xf numFmtId="49" fontId="8" fillId="0" borderId="18" xfId="5" applyNumberFormat="1" applyFont="1" applyFill="1" applyBorder="1" applyAlignment="1">
      <alignment horizontal="center" vertical="center" wrapText="1"/>
    </xf>
    <xf numFmtId="166" fontId="8" fillId="0" borderId="18" xfId="5" applyNumberFormat="1" applyFont="1" applyFill="1" applyBorder="1" applyAlignment="1">
      <alignment horizontal="right" vertical="center" wrapText="1"/>
    </xf>
    <xf numFmtId="166" fontId="27" fillId="0" borderId="18" xfId="5" applyNumberFormat="1" applyFont="1" applyFill="1" applyBorder="1" applyAlignment="1">
      <alignment horizontal="right" vertical="center" wrapText="1"/>
    </xf>
    <xf numFmtId="166" fontId="8" fillId="0" borderId="19" xfId="5" applyNumberFormat="1" applyFont="1" applyFill="1" applyBorder="1" applyAlignment="1">
      <alignment horizontal="right" vertical="center" wrapText="1"/>
    </xf>
    <xf numFmtId="49" fontId="9" fillId="0" borderId="13" xfId="5" applyNumberFormat="1" applyFont="1" applyFill="1" applyBorder="1" applyAlignment="1">
      <alignment horizontal="left" vertical="center" wrapText="1"/>
    </xf>
    <xf numFmtId="49" fontId="9" fillId="0" borderId="14" xfId="5" applyNumberFormat="1" applyFont="1" applyFill="1" applyBorder="1" applyAlignment="1">
      <alignment horizontal="center" vertical="center" wrapText="1"/>
    </xf>
    <xf numFmtId="166" fontId="9" fillId="0" borderId="14" xfId="5" applyNumberFormat="1" applyFont="1" applyFill="1" applyBorder="1" applyAlignment="1">
      <alignment horizontal="right" vertical="center" wrapText="1"/>
    </xf>
    <xf numFmtId="166" fontId="30" fillId="0" borderId="14" xfId="5" applyNumberFormat="1" applyFont="1" applyFill="1" applyBorder="1" applyAlignment="1">
      <alignment horizontal="right" vertical="center" wrapText="1"/>
    </xf>
    <xf numFmtId="166" fontId="9" fillId="0" borderId="15" xfId="5" applyNumberFormat="1" applyFont="1" applyFill="1" applyBorder="1" applyAlignment="1">
      <alignment horizontal="right" vertical="center" wrapText="1"/>
    </xf>
    <xf numFmtId="0" fontId="7" fillId="0" borderId="9" xfId="2" applyFont="1" applyFill="1" applyBorder="1" applyAlignment="1">
      <alignment horizontal="left" vertical="center" wrapText="1"/>
    </xf>
    <xf numFmtId="166" fontId="7" fillId="0" borderId="10" xfId="5" applyNumberFormat="1" applyFont="1" applyFill="1" applyBorder="1" applyAlignment="1">
      <alignment horizontal="right" vertical="center" wrapText="1"/>
    </xf>
    <xf numFmtId="166" fontId="28" fillId="0" borderId="10" xfId="5" applyNumberFormat="1" applyFont="1" applyFill="1" applyBorder="1" applyAlignment="1">
      <alignment horizontal="right" vertical="center" wrapText="1"/>
    </xf>
    <xf numFmtId="166" fontId="7" fillId="0" borderId="11" xfId="5" applyNumberFormat="1" applyFont="1" applyFill="1" applyBorder="1" applyAlignment="1">
      <alignment horizontal="right" vertical="center" wrapText="1"/>
    </xf>
    <xf numFmtId="0" fontId="12" fillId="0" borderId="20" xfId="2" applyFont="1" applyFill="1" applyBorder="1" applyAlignment="1">
      <alignment horizontal="left" vertical="center" wrapText="1"/>
    </xf>
    <xf numFmtId="49" fontId="10" fillId="0" borderId="3" xfId="5" applyNumberFormat="1" applyFont="1" applyFill="1" applyBorder="1" applyAlignment="1">
      <alignment horizontal="center" vertical="center" wrapText="1"/>
    </xf>
    <xf numFmtId="166" fontId="10" fillId="0" borderId="3" xfId="5" applyNumberFormat="1" applyFont="1" applyFill="1" applyBorder="1" applyAlignment="1">
      <alignment horizontal="right" vertical="center" wrapText="1"/>
    </xf>
    <xf numFmtId="166" fontId="29" fillId="0" borderId="3" xfId="5" applyNumberFormat="1" applyFont="1" applyFill="1" applyBorder="1" applyAlignment="1">
      <alignment horizontal="right" vertical="center" wrapText="1"/>
    </xf>
    <xf numFmtId="166" fontId="10" fillId="0" borderId="21" xfId="5" applyNumberFormat="1" applyFont="1" applyFill="1" applyBorder="1" applyAlignment="1">
      <alignment horizontal="right" vertical="center" wrapText="1"/>
    </xf>
    <xf numFmtId="0" fontId="13" fillId="0" borderId="2" xfId="2" applyFont="1" applyFill="1" applyBorder="1" applyAlignment="1">
      <alignment horizontal="left" vertical="center" wrapText="1"/>
    </xf>
    <xf numFmtId="0" fontId="7" fillId="0" borderId="13" xfId="2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0" fontId="27" fillId="0" borderId="2" xfId="0" applyFont="1" applyFill="1" applyBorder="1" applyAlignment="1">
      <alignment horizontal="left" vertical="center" wrapText="1" indent="2"/>
    </xf>
    <xf numFmtId="49" fontId="30" fillId="0" borderId="1" xfId="5" applyNumberFormat="1" applyFont="1" applyFill="1" applyBorder="1" applyAlignment="1">
      <alignment horizontal="center" vertical="center" wrapText="1"/>
    </xf>
    <xf numFmtId="166" fontId="27" fillId="0" borderId="16" xfId="5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justify" vertical="center" wrapText="1"/>
    </xf>
    <xf numFmtId="49" fontId="28" fillId="0" borderId="1" xfId="5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6" fontId="28" fillId="0" borderId="16" xfId="5" applyNumberFormat="1" applyFont="1" applyFill="1" applyBorder="1" applyAlignment="1">
      <alignment horizontal="right" vertical="center" wrapText="1"/>
    </xf>
    <xf numFmtId="0" fontId="29" fillId="0" borderId="2" xfId="1" applyFont="1" applyFill="1" applyBorder="1" applyAlignment="1">
      <alignment horizontal="left" vertical="center" wrapText="1"/>
    </xf>
    <xf numFmtId="44" fontId="29" fillId="0" borderId="1" xfId="6" applyFont="1" applyFill="1" applyBorder="1" applyAlignment="1">
      <alignment horizontal="center" vertical="center" wrapText="1"/>
    </xf>
    <xf numFmtId="49" fontId="29" fillId="0" borderId="1" xfId="1" applyNumberFormat="1" applyFont="1" applyFill="1" applyBorder="1" applyAlignment="1">
      <alignment horizontal="center" vertical="center" wrapText="1"/>
    </xf>
    <xf numFmtId="166" fontId="29" fillId="0" borderId="16" xfId="5" applyNumberFormat="1" applyFont="1" applyFill="1" applyBorder="1" applyAlignment="1">
      <alignment horizontal="right" vertical="center" wrapText="1"/>
    </xf>
    <xf numFmtId="0" fontId="27" fillId="0" borderId="2" xfId="1" applyFont="1" applyFill="1" applyBorder="1" applyAlignment="1">
      <alignment horizontal="left" vertical="center" wrapText="1"/>
    </xf>
    <xf numFmtId="44" fontId="27" fillId="0" borderId="1" xfId="6" applyFont="1" applyFill="1" applyBorder="1" applyAlignment="1">
      <alignment horizontal="center" vertical="center" wrapText="1"/>
    </xf>
    <xf numFmtId="49" fontId="27" fillId="0" borderId="1" xfId="1" applyNumberFormat="1" applyFont="1" applyFill="1" applyBorder="1" applyAlignment="1">
      <alignment horizontal="center" vertical="center" wrapText="1"/>
    </xf>
    <xf numFmtId="44" fontId="27" fillId="0" borderId="2" xfId="6" applyFont="1" applyFill="1" applyBorder="1" applyAlignment="1">
      <alignment horizontal="left" vertical="center" wrapText="1"/>
    </xf>
    <xf numFmtId="44" fontId="27" fillId="0" borderId="2" xfId="6" applyFont="1" applyFill="1" applyBorder="1" applyAlignment="1">
      <alignment horizontal="left" vertical="center" wrapText="1" indent="2"/>
    </xf>
    <xf numFmtId="167" fontId="27" fillId="0" borderId="1" xfId="6" applyNumberFormat="1" applyFont="1" applyFill="1" applyBorder="1" applyAlignment="1">
      <alignment horizontal="center" vertical="center" wrapText="1"/>
    </xf>
    <xf numFmtId="49" fontId="29" fillId="0" borderId="2" xfId="5" applyNumberFormat="1" applyFont="1" applyFill="1" applyBorder="1" applyAlignment="1">
      <alignment horizontal="left" vertical="center" wrapText="1"/>
    </xf>
    <xf numFmtId="49" fontId="29" fillId="0" borderId="1" xfId="5" applyNumberFormat="1" applyFont="1" applyFill="1" applyBorder="1" applyAlignment="1">
      <alignment horizontal="center" vertical="center" wrapText="1"/>
    </xf>
    <xf numFmtId="49" fontId="27" fillId="0" borderId="2" xfId="5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49" fontId="7" fillId="0" borderId="20" xfId="5" applyNumberFormat="1" applyFont="1" applyFill="1" applyBorder="1" applyAlignment="1">
      <alignment vertical="center" wrapText="1"/>
    </xf>
    <xf numFmtId="166" fontId="8" fillId="0" borderId="3" xfId="5" applyNumberFormat="1" applyFont="1" applyFill="1" applyBorder="1" applyAlignment="1">
      <alignment horizontal="right" vertical="center" wrapText="1"/>
    </xf>
    <xf numFmtId="166" fontId="27" fillId="0" borderId="3" xfId="5" applyNumberFormat="1" applyFont="1" applyFill="1" applyBorder="1" applyAlignment="1">
      <alignment horizontal="right" vertical="center" wrapText="1"/>
    </xf>
    <xf numFmtId="166" fontId="8" fillId="0" borderId="21" xfId="5" applyNumberFormat="1" applyFont="1" applyFill="1" applyBorder="1" applyAlignment="1">
      <alignment horizontal="right" vertical="center" wrapText="1"/>
    </xf>
    <xf numFmtId="0" fontId="10" fillId="0" borderId="25" xfId="5" applyFont="1" applyFill="1" applyBorder="1" applyAlignment="1">
      <alignment horizontal="center"/>
    </xf>
    <xf numFmtId="0" fontId="8" fillId="0" borderId="14" xfId="5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13" fillId="0" borderId="22" xfId="2" applyFont="1" applyFill="1" applyBorder="1" applyAlignment="1">
      <alignment horizontal="left" wrapText="1" indent="2"/>
    </xf>
    <xf numFmtId="0" fontId="11" fillId="0" borderId="13" xfId="1" applyFont="1" applyFill="1" applyBorder="1" applyAlignment="1">
      <alignment horizontal="left" vertical="center" wrapText="1"/>
    </xf>
    <xf numFmtId="166" fontId="8" fillId="0" borderId="1" xfId="5" applyNumberFormat="1" applyFont="1" applyFill="1" applyBorder="1" applyAlignment="1">
      <alignment horizontal="right" vertical="center"/>
    </xf>
    <xf numFmtId="166" fontId="27" fillId="0" borderId="1" xfId="5" applyNumberFormat="1" applyFont="1" applyFill="1" applyBorder="1" applyAlignment="1">
      <alignment horizontal="right" vertical="center"/>
    </xf>
    <xf numFmtId="166" fontId="8" fillId="0" borderId="16" xfId="5" applyNumberFormat="1" applyFont="1" applyFill="1" applyBorder="1" applyAlignment="1">
      <alignment horizontal="right" vertical="center"/>
    </xf>
    <xf numFmtId="166" fontId="9" fillId="0" borderId="25" xfId="5" applyNumberFormat="1" applyFont="1" applyFill="1" applyBorder="1" applyAlignment="1">
      <alignment horizontal="right" vertical="center"/>
    </xf>
    <xf numFmtId="166" fontId="30" fillId="0" borderId="25" xfId="5" applyNumberFormat="1" applyFont="1" applyFill="1" applyBorder="1" applyAlignment="1">
      <alignment horizontal="right" vertical="center"/>
    </xf>
    <xf numFmtId="166" fontId="9" fillId="0" borderId="26" xfId="5" applyNumberFormat="1" applyFont="1" applyFill="1" applyBorder="1" applyAlignment="1">
      <alignment horizontal="right" vertical="center"/>
    </xf>
    <xf numFmtId="166" fontId="9" fillId="0" borderId="9" xfId="5" applyNumberFormat="1" applyFont="1" applyFill="1" applyBorder="1" applyAlignment="1">
      <alignment horizontal="left" vertical="center" wrapText="1"/>
    </xf>
    <xf numFmtId="0" fontId="39" fillId="0" borderId="0" xfId="5" applyFont="1" applyFill="1"/>
    <xf numFmtId="166" fontId="7" fillId="0" borderId="20" xfId="5" applyNumberFormat="1" applyFont="1" applyFill="1" applyBorder="1" applyAlignment="1">
      <alignment horizontal="left" vertical="center" wrapText="1"/>
    </xf>
    <xf numFmtId="166" fontId="7" fillId="0" borderId="3" xfId="5" applyNumberFormat="1" applyFont="1" applyFill="1" applyBorder="1" applyAlignment="1">
      <alignment horizontal="center" vertical="center" wrapText="1"/>
    </xf>
    <xf numFmtId="166" fontId="10" fillId="0" borderId="2" xfId="5" applyNumberFormat="1" applyFont="1" applyFill="1" applyBorder="1" applyAlignment="1">
      <alignment horizontal="left" vertical="center" wrapText="1"/>
    </xf>
    <xf numFmtId="0" fontId="10" fillId="0" borderId="1" xfId="5" applyFont="1" applyFill="1" applyBorder="1"/>
    <xf numFmtId="166" fontId="10" fillId="0" borderId="1" xfId="5" applyNumberFormat="1" applyFont="1" applyFill="1" applyBorder="1" applyAlignment="1">
      <alignment horizontal="center" vertical="center" wrapText="1"/>
    </xf>
    <xf numFmtId="166" fontId="10" fillId="0" borderId="1" xfId="5" applyNumberFormat="1" applyFont="1" applyFill="1" applyBorder="1"/>
    <xf numFmtId="166" fontId="29" fillId="0" borderId="1" xfId="5" applyNumberFormat="1" applyFont="1" applyFill="1" applyBorder="1"/>
    <xf numFmtId="166" fontId="10" fillId="0" borderId="16" xfId="5" applyNumberFormat="1" applyFont="1" applyFill="1" applyBorder="1"/>
    <xf numFmtId="166" fontId="8" fillId="0" borderId="2" xfId="5" applyNumberFormat="1" applyFont="1" applyFill="1" applyBorder="1" applyAlignment="1">
      <alignment horizontal="left" vertical="center" wrapText="1"/>
    </xf>
    <xf numFmtId="0" fontId="8" fillId="0" borderId="1" xfId="5" applyFont="1" applyFill="1" applyBorder="1"/>
    <xf numFmtId="166" fontId="8" fillId="0" borderId="1" xfId="5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/>
    <xf numFmtId="166" fontId="8" fillId="0" borderId="16" xfId="5" applyNumberFormat="1" applyFont="1" applyFill="1" applyBorder="1"/>
    <xf numFmtId="166" fontId="8" fillId="0" borderId="2" xfId="5" applyNumberFormat="1" applyFont="1" applyFill="1" applyBorder="1" applyAlignment="1">
      <alignment horizontal="left" vertical="center" wrapText="1" indent="2"/>
    </xf>
    <xf numFmtId="166" fontId="27" fillId="0" borderId="1" xfId="5" applyNumberFormat="1" applyFont="1" applyFill="1" applyBorder="1"/>
    <xf numFmtId="171" fontId="8" fillId="0" borderId="1" xfId="5" applyNumberFormat="1" applyFont="1" applyFill="1" applyBorder="1" applyAlignment="1">
      <alignment horizontal="right" vertical="center" wrapText="1"/>
    </xf>
    <xf numFmtId="171" fontId="27" fillId="0" borderId="1" xfId="5" applyNumberFormat="1" applyFont="1" applyFill="1" applyBorder="1" applyAlignment="1">
      <alignment horizontal="right" vertical="center" wrapText="1"/>
    </xf>
    <xf numFmtId="171" fontId="8" fillId="0" borderId="16" xfId="5" applyNumberFormat="1" applyFont="1" applyFill="1" applyBorder="1" applyAlignment="1">
      <alignment horizontal="right" vertical="center" wrapText="1"/>
    </xf>
    <xf numFmtId="166" fontId="8" fillId="0" borderId="18" xfId="5" applyNumberFormat="1" applyFont="1" applyFill="1" applyBorder="1" applyAlignment="1">
      <alignment horizontal="center" vertical="center" wrapText="1"/>
    </xf>
    <xf numFmtId="171" fontId="8" fillId="0" borderId="18" xfId="5" applyNumberFormat="1" applyFont="1" applyFill="1" applyBorder="1" applyAlignment="1">
      <alignment horizontal="right" vertical="center" wrapText="1"/>
    </xf>
    <xf numFmtId="171" fontId="27" fillId="0" borderId="18" xfId="5" applyNumberFormat="1" applyFont="1" applyFill="1" applyBorder="1" applyAlignment="1">
      <alignment vertical="center"/>
    </xf>
    <xf numFmtId="171" fontId="8" fillId="0" borderId="19" xfId="5" applyNumberFormat="1" applyFont="1" applyFill="1" applyBorder="1" applyAlignment="1">
      <alignment vertical="center"/>
    </xf>
    <xf numFmtId="0" fontId="4" fillId="0" borderId="0" xfId="5" applyFont="1" applyFill="1" applyAlignment="1">
      <alignment horizontal="right"/>
    </xf>
  </cellXfs>
  <cellStyles count="7">
    <cellStyle name="Денежный" xfId="6" builtinId="4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_Бюджет 2007" xfId="3" xr:uid="{00000000-0005-0000-0000-000004000000}"/>
    <cellStyle name="Обычный_Исполнение бюджета 2 квартал ПЕЧАТЬ" xfId="4" xr:uid="{00000000-0005-0000-0000-000005000000}"/>
    <cellStyle name="Обычный_Приложения 1-9 к бюджету 2007 Поправка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24-4509-A6D4-A3F246610C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24-4509-A6D4-A3F246610C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24-4509-A6D4-A3F246610C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24-4509-A6D4-A3F246610C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E24-4509-A6D4-A3F246610C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E24-4509-A6D4-A3F246610C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E24-4509-A6D4-A3F246610C4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E24-4509-A6D4-A3F246610C4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E24-4509-A6D4-A3F246610C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'вед.структура расходов'!$A$22:$A$285</c:f>
              <c:strCache>
                <c:ptCount val="9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 и кинематография</c:v>
                </c:pt>
                <c:pt idx="7">
                  <c:v>Социальная политика</c:v>
                </c:pt>
                <c:pt idx="8">
                  <c:v>Физическая культура и спорт</c:v>
                </c:pt>
              </c:strCache>
            </c:strRef>
          </c:cat>
          <c:val>
            <c:numRef>
              <c:f>'вед.структура расходов'!$H$22:$H$285</c:f>
              <c:numCache>
                <c:formatCode>0.0%</c:formatCode>
                <c:ptCount val="9"/>
                <c:pt idx="0">
                  <c:v>0.18398248844110432</c:v>
                </c:pt>
                <c:pt idx="1">
                  <c:v>5.3298267245432563E-3</c:v>
                </c:pt>
                <c:pt idx="2">
                  <c:v>3.7391776320947333E-2</c:v>
                </c:pt>
                <c:pt idx="3">
                  <c:v>0.16561507575001166</c:v>
                </c:pt>
                <c:pt idx="4">
                  <c:v>0.2498326003440749</c:v>
                </c:pt>
                <c:pt idx="5">
                  <c:v>3.9155556257566429E-3</c:v>
                </c:pt>
                <c:pt idx="6">
                  <c:v>0.17355200633436371</c:v>
                </c:pt>
                <c:pt idx="7">
                  <c:v>6.1122880430968399E-3</c:v>
                </c:pt>
                <c:pt idx="8">
                  <c:v>0.17426838241610154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A-42B3-8F24-3E491FF8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'основные характеристики'!$A$2</c:f>
              <c:strCache>
                <c:ptCount val="1"/>
                <c:pt idx="0">
                  <c:v>Доходы бюджета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'основные характеристики'!$B$1:$D$1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'основные характеристики'!$B$2:$D$2</c:f>
              <c:numCache>
                <c:formatCode>#\ ##0.00000</c:formatCode>
                <c:ptCount val="3"/>
                <c:pt idx="0">
                  <c:v>423868.28249999997</c:v>
                </c:pt>
                <c:pt idx="1">
                  <c:v>290826.69328999997</c:v>
                </c:pt>
                <c:pt idx="2">
                  <c:v>316472.37599999993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7-4F8B-8235-CD72603E6733}"/>
            </c:ext>
          </c:extLst>
        </c:ser>
        <c:ser>
          <c:idx val="1"/>
          <c:order val="1"/>
          <c:tx>
            <c:strRef>
              <c:f>'основные характеристики'!$A$3</c:f>
              <c:strCache>
                <c:ptCount val="1"/>
                <c:pt idx="0">
                  <c:v>Расходы бюджета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'основные характеристики'!$B$1:$D$1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'основные характеристики'!$B$3:$D$3</c:f>
              <c:numCache>
                <c:formatCode>#\ ##0.00000</c:formatCode>
                <c:ptCount val="3"/>
                <c:pt idx="0">
                  <c:v>543868.28249999997</c:v>
                </c:pt>
                <c:pt idx="1">
                  <c:v>310926.69329200004</c:v>
                </c:pt>
                <c:pt idx="2">
                  <c:v>337472.37600400002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7-4F8B-8235-CD72603E6733}"/>
            </c:ext>
          </c:extLst>
        </c:ser>
        <c:ser>
          <c:idx val="2"/>
          <c:order val="2"/>
          <c:tx>
            <c:strRef>
              <c:f>'основные характеристики'!$A$4</c:f>
              <c:strCache>
                <c:ptCount val="1"/>
                <c:pt idx="0">
                  <c:v>Дефицит бюджета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'основные характеристики'!$B$1:$D$1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'основные характеристики'!$B$4:$D$4</c:f>
              <c:numCache>
                <c:formatCode>#\ ##0.00000</c:formatCode>
                <c:ptCount val="3"/>
                <c:pt idx="0">
                  <c:v>120000</c:v>
                </c:pt>
                <c:pt idx="1">
                  <c:v>20100.000002000073</c:v>
                </c:pt>
                <c:pt idx="2">
                  <c:v>21000.000004000089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7-4F8B-8235-CD72603E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05360"/>
        <c:axId val="657902840"/>
      </c:barChart>
      <c:catAx>
        <c:axId val="65790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7902840"/>
        <c:crosses val="autoZero"/>
        <c:auto val="1"/>
        <c:lblAlgn val="ctr"/>
        <c:lblOffset val="100"/>
        <c:noMultiLvlLbl val="0"/>
      </c:catAx>
      <c:valAx>
        <c:axId val="657902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00" sourceLinked="1"/>
        <c:majorTickMark val="none"/>
        <c:minorTickMark val="none"/>
        <c:tickLblPos val="nextTo"/>
        <c:crossAx val="65790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'доходы в презу'!$B$81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'доходы в презу'!$C$80:$E$80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'доходы в презу'!$C$81:$E$81</c:f>
              <c:numCache>
                <c:formatCode>0.00%</c:formatCode>
                <c:ptCount val="3"/>
                <c:pt idx="0">
                  <c:v>0.71452167824587354</c:v>
                </c:pt>
                <c:pt idx="1">
                  <c:v>0.69454896824661561</c:v>
                </c:pt>
                <c:pt idx="2">
                  <c:v>0.66386433379889453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1-44D8-A4B1-CB08153C2131}"/>
            </c:ext>
          </c:extLst>
        </c:ser>
        <c:ser>
          <c:idx val="1"/>
          <c:order val="1"/>
          <c:tx>
            <c:strRef>
              <c:f>'доходы в презу'!$B$82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'доходы в презу'!$C$80:$E$80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'доходы в презу'!$C$82:$E$82</c:f>
              <c:numCache>
                <c:formatCode>0.00%</c:formatCode>
                <c:ptCount val="3"/>
                <c:pt idx="0">
                  <c:v>0.28547832175412641</c:v>
                </c:pt>
                <c:pt idx="1">
                  <c:v>0.30545103175338434</c:v>
                </c:pt>
                <c:pt idx="2">
                  <c:v>0.33613566620110547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1-44D8-A4B1-CB08153C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7214152"/>
        <c:axId val="627214512"/>
      </c:barChart>
      <c:catAx>
        <c:axId val="62721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7214512"/>
        <c:crosses val="autoZero"/>
        <c:auto val="1"/>
        <c:lblAlgn val="ctr"/>
        <c:lblOffset val="100"/>
        <c:noMultiLvlLbl val="0"/>
      </c:catAx>
      <c:valAx>
        <c:axId val="62721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721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'СТРУКТУРА ПРОГРАММНЫЕ ПРЕЗА'!$A$318:$E$318</c:f>
              <c:strCache>
                <c:ptCount val="5"/>
                <c:pt idx="0">
                  <c:v>Программные расходы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'СТРУКТУРА ПРОГРАММНЫЕ ПРЕЗА'!$F$317:$H$317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'СТРУКТУРА ПРОГРАММНЫЕ ПРЕЗА'!$F$318:$H$318</c:f>
              <c:numCache>
                <c:formatCode>0.00%</c:formatCode>
                <c:ptCount val="3"/>
                <c:pt idx="0">
                  <c:v>0.80486536628362071</c:v>
                </c:pt>
                <c:pt idx="1">
                  <c:v>0.6524884896851173</c:v>
                </c:pt>
                <c:pt idx="2">
                  <c:v>0.60336244619131152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C-4193-B651-E1E950EF2FDB}"/>
            </c:ext>
          </c:extLst>
        </c:ser>
        <c:ser>
          <c:idx val="1"/>
          <c:order val="1"/>
          <c:tx>
            <c:strRef>
              <c:f>'СТРУКТУРА ПРОГРАММНЫЕ ПРЕЗА'!$A$319:$E$319</c:f>
              <c:strCache>
                <c:ptCount val="5"/>
                <c:pt idx="0">
                  <c:v>Непрограммные расходы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'СТРУКТУРА ПРОГРАММНЫЕ ПРЕЗА'!$F$317:$H$317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'СТРУКТУРА ПРОГРАММНЫЕ ПРЕЗА'!$F$319:$H$319</c:f>
              <c:numCache>
                <c:formatCode>0.00%</c:formatCode>
                <c:ptCount val="3"/>
                <c:pt idx="0">
                  <c:v>0.19513463371637935</c:v>
                </c:pt>
                <c:pt idx="1">
                  <c:v>0.316230698439178</c:v>
                </c:pt>
                <c:pt idx="2">
                  <c:v>0.33406792665805174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C-4193-B651-E1E950EF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245104"/>
        <c:axId val="782240784"/>
      </c:barChart>
      <c:catAx>
        <c:axId val="78224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2240784"/>
        <c:crosses val="autoZero"/>
        <c:auto val="1"/>
        <c:lblAlgn val="ctr"/>
        <c:lblOffset val="100"/>
        <c:noMultiLvlLbl val="0"/>
      </c:catAx>
      <c:valAx>
        <c:axId val="782240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78224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3816569</xdr:colOff>
      <xdr:row>18</xdr:row>
      <xdr:rowOff>17735</xdr:rowOff>
    </xdr:from>
    <xdr:to>
      <xdr:col>9</xdr:col>
      <xdr:colOff>262759</xdr:colOff>
      <xdr:row>320</xdr:row>
      <xdr:rowOff>172763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731C0CB-57CA-60D7-4D18-BE6073AD4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11</xdr:row>
      <xdr:rowOff>133350</xdr:rowOff>
    </xdr:from>
    <xdr:to>
      <xdr:col>13</xdr:col>
      <xdr:colOff>561975</xdr:colOff>
      <xdr:row>28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6D57EF7-2996-AA9A-3F10-D5D162E3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204787</xdr:colOff>
      <xdr:row>23</xdr:row>
      <xdr:rowOff>276225</xdr:rowOff>
    </xdr:from>
    <xdr:to>
      <xdr:col>15</xdr:col>
      <xdr:colOff>109537</xdr:colOff>
      <xdr:row>70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4FD7752-797E-49A6-4E5B-06BE47528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472966</xdr:colOff>
      <xdr:row>14</xdr:row>
      <xdr:rowOff>96563</xdr:rowOff>
    </xdr:from>
    <xdr:to>
      <xdr:col>18</xdr:col>
      <xdr:colOff>157656</xdr:colOff>
      <xdr:row>318</xdr:row>
      <xdr:rowOff>113642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3BDC9FB-8E78-F420-1F89-9E97B5457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115" zoomScaleNormal="115" workbookViewId="0">
      <selection activeCell="B37" sqref="B37"/>
    </sheetView>
  </sheetViews>
  <sheetFormatPr defaultRowHeight="12.75" x14ac:dyDescent="0.2"/>
  <cols>
    <col min="1" max="1" width="55.140625" style="592" bestFit="1" customWidth="1"/>
    <col min="2" max="2" width="27.85546875" style="592" customWidth="1"/>
    <col min="3" max="3" width="15.140625" style="592" customWidth="1"/>
    <col min="4" max="4" width="17.140625" style="592" customWidth="1"/>
    <col min="5" max="5" width="17.42578125" style="592" customWidth="1"/>
    <col min="6" max="7" width="9.140625" style="738"/>
    <col min="8" max="8" width="13.28515625" style="738" customWidth="1"/>
    <col min="9" max="9" width="13.140625" style="738" customWidth="1"/>
    <col min="10" max="12" width="9.140625" style="738"/>
    <col min="13" max="256" width="9.140625" style="592"/>
    <col min="257" max="257" width="44.5703125" style="592" customWidth="1"/>
    <col min="258" max="258" width="29.140625" style="592" customWidth="1"/>
    <col min="259" max="260" width="15.140625" style="592" customWidth="1"/>
    <col min="261" max="261" width="16.7109375" style="592" customWidth="1"/>
    <col min="262" max="512" width="9.140625" style="592"/>
    <col min="513" max="513" width="44.5703125" style="592" customWidth="1"/>
    <col min="514" max="514" width="29.140625" style="592" customWidth="1"/>
    <col min="515" max="516" width="15.140625" style="592" customWidth="1"/>
    <col min="517" max="517" width="16.7109375" style="592" customWidth="1"/>
    <col min="518" max="768" width="9.140625" style="592"/>
    <col min="769" max="769" width="44.5703125" style="592" customWidth="1"/>
    <col min="770" max="770" width="29.140625" style="592" customWidth="1"/>
    <col min="771" max="772" width="15.140625" style="592" customWidth="1"/>
    <col min="773" max="773" width="16.7109375" style="592" customWidth="1"/>
    <col min="774" max="1024" width="9.140625" style="592"/>
    <col min="1025" max="1025" width="44.5703125" style="592" customWidth="1"/>
    <col min="1026" max="1026" width="29.140625" style="592" customWidth="1"/>
    <col min="1027" max="1028" width="15.140625" style="592" customWidth="1"/>
    <col min="1029" max="1029" width="16.7109375" style="592" customWidth="1"/>
    <col min="1030" max="1280" width="9.140625" style="592"/>
    <col min="1281" max="1281" width="44.5703125" style="592" customWidth="1"/>
    <col min="1282" max="1282" width="29.140625" style="592" customWidth="1"/>
    <col min="1283" max="1284" width="15.140625" style="592" customWidth="1"/>
    <col min="1285" max="1285" width="16.7109375" style="592" customWidth="1"/>
    <col min="1286" max="1536" width="9.140625" style="592"/>
    <col min="1537" max="1537" width="44.5703125" style="592" customWidth="1"/>
    <col min="1538" max="1538" width="29.140625" style="592" customWidth="1"/>
    <col min="1539" max="1540" width="15.140625" style="592" customWidth="1"/>
    <col min="1541" max="1541" width="16.7109375" style="592" customWidth="1"/>
    <col min="1542" max="1792" width="9.140625" style="592"/>
    <col min="1793" max="1793" width="44.5703125" style="592" customWidth="1"/>
    <col min="1794" max="1794" width="29.140625" style="592" customWidth="1"/>
    <col min="1795" max="1796" width="15.140625" style="592" customWidth="1"/>
    <col min="1797" max="1797" width="16.7109375" style="592" customWidth="1"/>
    <col min="1798" max="2048" width="9.140625" style="592"/>
    <col min="2049" max="2049" width="44.5703125" style="592" customWidth="1"/>
    <col min="2050" max="2050" width="29.140625" style="592" customWidth="1"/>
    <col min="2051" max="2052" width="15.140625" style="592" customWidth="1"/>
    <col min="2053" max="2053" width="16.7109375" style="592" customWidth="1"/>
    <col min="2054" max="2304" width="9.140625" style="592"/>
    <col min="2305" max="2305" width="44.5703125" style="592" customWidth="1"/>
    <col min="2306" max="2306" width="29.140625" style="592" customWidth="1"/>
    <col min="2307" max="2308" width="15.140625" style="592" customWidth="1"/>
    <col min="2309" max="2309" width="16.7109375" style="592" customWidth="1"/>
    <col min="2310" max="2560" width="9.140625" style="592"/>
    <col min="2561" max="2561" width="44.5703125" style="592" customWidth="1"/>
    <col min="2562" max="2562" width="29.140625" style="592" customWidth="1"/>
    <col min="2563" max="2564" width="15.140625" style="592" customWidth="1"/>
    <col min="2565" max="2565" width="16.7109375" style="592" customWidth="1"/>
    <col min="2566" max="2816" width="9.140625" style="592"/>
    <col min="2817" max="2817" width="44.5703125" style="592" customWidth="1"/>
    <col min="2818" max="2818" width="29.140625" style="592" customWidth="1"/>
    <col min="2819" max="2820" width="15.140625" style="592" customWidth="1"/>
    <col min="2821" max="2821" width="16.7109375" style="592" customWidth="1"/>
    <col min="2822" max="3072" width="9.140625" style="592"/>
    <col min="3073" max="3073" width="44.5703125" style="592" customWidth="1"/>
    <col min="3074" max="3074" width="29.140625" style="592" customWidth="1"/>
    <col min="3075" max="3076" width="15.140625" style="592" customWidth="1"/>
    <col min="3077" max="3077" width="16.7109375" style="592" customWidth="1"/>
    <col min="3078" max="3328" width="9.140625" style="592"/>
    <col min="3329" max="3329" width="44.5703125" style="592" customWidth="1"/>
    <col min="3330" max="3330" width="29.140625" style="592" customWidth="1"/>
    <col min="3331" max="3332" width="15.140625" style="592" customWidth="1"/>
    <col min="3333" max="3333" width="16.7109375" style="592" customWidth="1"/>
    <col min="3334" max="3584" width="9.140625" style="592"/>
    <col min="3585" max="3585" width="44.5703125" style="592" customWidth="1"/>
    <col min="3586" max="3586" width="29.140625" style="592" customWidth="1"/>
    <col min="3587" max="3588" width="15.140625" style="592" customWidth="1"/>
    <col min="3589" max="3589" width="16.7109375" style="592" customWidth="1"/>
    <col min="3590" max="3840" width="9.140625" style="592"/>
    <col min="3841" max="3841" width="44.5703125" style="592" customWidth="1"/>
    <col min="3842" max="3842" width="29.140625" style="592" customWidth="1"/>
    <col min="3843" max="3844" width="15.140625" style="592" customWidth="1"/>
    <col min="3845" max="3845" width="16.7109375" style="592" customWidth="1"/>
    <col min="3846" max="4096" width="9.140625" style="592"/>
    <col min="4097" max="4097" width="44.5703125" style="592" customWidth="1"/>
    <col min="4098" max="4098" width="29.140625" style="592" customWidth="1"/>
    <col min="4099" max="4100" width="15.140625" style="592" customWidth="1"/>
    <col min="4101" max="4101" width="16.7109375" style="592" customWidth="1"/>
    <col min="4102" max="4352" width="9.140625" style="592"/>
    <col min="4353" max="4353" width="44.5703125" style="592" customWidth="1"/>
    <col min="4354" max="4354" width="29.140625" style="592" customWidth="1"/>
    <col min="4355" max="4356" width="15.140625" style="592" customWidth="1"/>
    <col min="4357" max="4357" width="16.7109375" style="592" customWidth="1"/>
    <col min="4358" max="4608" width="9.140625" style="592"/>
    <col min="4609" max="4609" width="44.5703125" style="592" customWidth="1"/>
    <col min="4610" max="4610" width="29.140625" style="592" customWidth="1"/>
    <col min="4611" max="4612" width="15.140625" style="592" customWidth="1"/>
    <col min="4613" max="4613" width="16.7109375" style="592" customWidth="1"/>
    <col min="4614" max="4864" width="9.140625" style="592"/>
    <col min="4865" max="4865" width="44.5703125" style="592" customWidth="1"/>
    <col min="4866" max="4866" width="29.140625" style="592" customWidth="1"/>
    <col min="4867" max="4868" width="15.140625" style="592" customWidth="1"/>
    <col min="4869" max="4869" width="16.7109375" style="592" customWidth="1"/>
    <col min="4870" max="5120" width="9.140625" style="592"/>
    <col min="5121" max="5121" width="44.5703125" style="592" customWidth="1"/>
    <col min="5122" max="5122" width="29.140625" style="592" customWidth="1"/>
    <col min="5123" max="5124" width="15.140625" style="592" customWidth="1"/>
    <col min="5125" max="5125" width="16.7109375" style="592" customWidth="1"/>
    <col min="5126" max="5376" width="9.140625" style="592"/>
    <col min="5377" max="5377" width="44.5703125" style="592" customWidth="1"/>
    <col min="5378" max="5378" width="29.140625" style="592" customWidth="1"/>
    <col min="5379" max="5380" width="15.140625" style="592" customWidth="1"/>
    <col min="5381" max="5381" width="16.7109375" style="592" customWidth="1"/>
    <col min="5382" max="5632" width="9.140625" style="592"/>
    <col min="5633" max="5633" width="44.5703125" style="592" customWidth="1"/>
    <col min="5634" max="5634" width="29.140625" style="592" customWidth="1"/>
    <col min="5635" max="5636" width="15.140625" style="592" customWidth="1"/>
    <col min="5637" max="5637" width="16.7109375" style="592" customWidth="1"/>
    <col min="5638" max="5888" width="9.140625" style="592"/>
    <col min="5889" max="5889" width="44.5703125" style="592" customWidth="1"/>
    <col min="5890" max="5890" width="29.140625" style="592" customWidth="1"/>
    <col min="5891" max="5892" width="15.140625" style="592" customWidth="1"/>
    <col min="5893" max="5893" width="16.7109375" style="592" customWidth="1"/>
    <col min="5894" max="6144" width="9.140625" style="592"/>
    <col min="6145" max="6145" width="44.5703125" style="592" customWidth="1"/>
    <col min="6146" max="6146" width="29.140625" style="592" customWidth="1"/>
    <col min="6147" max="6148" width="15.140625" style="592" customWidth="1"/>
    <col min="6149" max="6149" width="16.7109375" style="592" customWidth="1"/>
    <col min="6150" max="6400" width="9.140625" style="592"/>
    <col min="6401" max="6401" width="44.5703125" style="592" customWidth="1"/>
    <col min="6402" max="6402" width="29.140625" style="592" customWidth="1"/>
    <col min="6403" max="6404" width="15.140625" style="592" customWidth="1"/>
    <col min="6405" max="6405" width="16.7109375" style="592" customWidth="1"/>
    <col min="6406" max="6656" width="9.140625" style="592"/>
    <col min="6657" max="6657" width="44.5703125" style="592" customWidth="1"/>
    <col min="6658" max="6658" width="29.140625" style="592" customWidth="1"/>
    <col min="6659" max="6660" width="15.140625" style="592" customWidth="1"/>
    <col min="6661" max="6661" width="16.7109375" style="592" customWidth="1"/>
    <col min="6662" max="6912" width="9.140625" style="592"/>
    <col min="6913" max="6913" width="44.5703125" style="592" customWidth="1"/>
    <col min="6914" max="6914" width="29.140625" style="592" customWidth="1"/>
    <col min="6915" max="6916" width="15.140625" style="592" customWidth="1"/>
    <col min="6917" max="6917" width="16.7109375" style="592" customWidth="1"/>
    <col min="6918" max="7168" width="9.140625" style="592"/>
    <col min="7169" max="7169" width="44.5703125" style="592" customWidth="1"/>
    <col min="7170" max="7170" width="29.140625" style="592" customWidth="1"/>
    <col min="7171" max="7172" width="15.140625" style="592" customWidth="1"/>
    <col min="7173" max="7173" width="16.7109375" style="592" customWidth="1"/>
    <col min="7174" max="7424" width="9.140625" style="592"/>
    <col min="7425" max="7425" width="44.5703125" style="592" customWidth="1"/>
    <col min="7426" max="7426" width="29.140625" style="592" customWidth="1"/>
    <col min="7427" max="7428" width="15.140625" style="592" customWidth="1"/>
    <col min="7429" max="7429" width="16.7109375" style="592" customWidth="1"/>
    <col min="7430" max="7680" width="9.140625" style="592"/>
    <col min="7681" max="7681" width="44.5703125" style="592" customWidth="1"/>
    <col min="7682" max="7682" width="29.140625" style="592" customWidth="1"/>
    <col min="7683" max="7684" width="15.140625" style="592" customWidth="1"/>
    <col min="7685" max="7685" width="16.7109375" style="592" customWidth="1"/>
    <col min="7686" max="7936" width="9.140625" style="592"/>
    <col min="7937" max="7937" width="44.5703125" style="592" customWidth="1"/>
    <col min="7938" max="7938" width="29.140625" style="592" customWidth="1"/>
    <col min="7939" max="7940" width="15.140625" style="592" customWidth="1"/>
    <col min="7941" max="7941" width="16.7109375" style="592" customWidth="1"/>
    <col min="7942" max="8192" width="9.140625" style="592"/>
    <col min="8193" max="8193" width="44.5703125" style="592" customWidth="1"/>
    <col min="8194" max="8194" width="29.140625" style="592" customWidth="1"/>
    <col min="8195" max="8196" width="15.140625" style="592" customWidth="1"/>
    <col min="8197" max="8197" width="16.7109375" style="592" customWidth="1"/>
    <col min="8198" max="8448" width="9.140625" style="592"/>
    <col min="8449" max="8449" width="44.5703125" style="592" customWidth="1"/>
    <col min="8450" max="8450" width="29.140625" style="592" customWidth="1"/>
    <col min="8451" max="8452" width="15.140625" style="592" customWidth="1"/>
    <col min="8453" max="8453" width="16.7109375" style="592" customWidth="1"/>
    <col min="8454" max="8704" width="9.140625" style="592"/>
    <col min="8705" max="8705" width="44.5703125" style="592" customWidth="1"/>
    <col min="8706" max="8706" width="29.140625" style="592" customWidth="1"/>
    <col min="8707" max="8708" width="15.140625" style="592" customWidth="1"/>
    <col min="8709" max="8709" width="16.7109375" style="592" customWidth="1"/>
    <col min="8710" max="8960" width="9.140625" style="592"/>
    <col min="8961" max="8961" width="44.5703125" style="592" customWidth="1"/>
    <col min="8962" max="8962" width="29.140625" style="592" customWidth="1"/>
    <col min="8963" max="8964" width="15.140625" style="592" customWidth="1"/>
    <col min="8965" max="8965" width="16.7109375" style="592" customWidth="1"/>
    <col min="8966" max="9216" width="9.140625" style="592"/>
    <col min="9217" max="9217" width="44.5703125" style="592" customWidth="1"/>
    <col min="9218" max="9218" width="29.140625" style="592" customWidth="1"/>
    <col min="9219" max="9220" width="15.140625" style="592" customWidth="1"/>
    <col min="9221" max="9221" width="16.7109375" style="592" customWidth="1"/>
    <col min="9222" max="9472" width="9.140625" style="592"/>
    <col min="9473" max="9473" width="44.5703125" style="592" customWidth="1"/>
    <col min="9474" max="9474" width="29.140625" style="592" customWidth="1"/>
    <col min="9475" max="9476" width="15.140625" style="592" customWidth="1"/>
    <col min="9477" max="9477" width="16.7109375" style="592" customWidth="1"/>
    <col min="9478" max="9728" width="9.140625" style="592"/>
    <col min="9729" max="9729" width="44.5703125" style="592" customWidth="1"/>
    <col min="9730" max="9730" width="29.140625" style="592" customWidth="1"/>
    <col min="9731" max="9732" width="15.140625" style="592" customWidth="1"/>
    <col min="9733" max="9733" width="16.7109375" style="592" customWidth="1"/>
    <col min="9734" max="9984" width="9.140625" style="592"/>
    <col min="9985" max="9985" width="44.5703125" style="592" customWidth="1"/>
    <col min="9986" max="9986" width="29.140625" style="592" customWidth="1"/>
    <col min="9987" max="9988" width="15.140625" style="592" customWidth="1"/>
    <col min="9989" max="9989" width="16.7109375" style="592" customWidth="1"/>
    <col min="9990" max="10240" width="9.140625" style="592"/>
    <col min="10241" max="10241" width="44.5703125" style="592" customWidth="1"/>
    <col min="10242" max="10242" width="29.140625" style="592" customWidth="1"/>
    <col min="10243" max="10244" width="15.140625" style="592" customWidth="1"/>
    <col min="10245" max="10245" width="16.7109375" style="592" customWidth="1"/>
    <col min="10246" max="10496" width="9.140625" style="592"/>
    <col min="10497" max="10497" width="44.5703125" style="592" customWidth="1"/>
    <col min="10498" max="10498" width="29.140625" style="592" customWidth="1"/>
    <col min="10499" max="10500" width="15.140625" style="592" customWidth="1"/>
    <col min="10501" max="10501" width="16.7109375" style="592" customWidth="1"/>
    <col min="10502" max="10752" width="9.140625" style="592"/>
    <col min="10753" max="10753" width="44.5703125" style="592" customWidth="1"/>
    <col min="10754" max="10754" width="29.140625" style="592" customWidth="1"/>
    <col min="10755" max="10756" width="15.140625" style="592" customWidth="1"/>
    <col min="10757" max="10757" width="16.7109375" style="592" customWidth="1"/>
    <col min="10758" max="11008" width="9.140625" style="592"/>
    <col min="11009" max="11009" width="44.5703125" style="592" customWidth="1"/>
    <col min="11010" max="11010" width="29.140625" style="592" customWidth="1"/>
    <col min="11011" max="11012" width="15.140625" style="592" customWidth="1"/>
    <col min="11013" max="11013" width="16.7109375" style="592" customWidth="1"/>
    <col min="11014" max="11264" width="9.140625" style="592"/>
    <col min="11265" max="11265" width="44.5703125" style="592" customWidth="1"/>
    <col min="11266" max="11266" width="29.140625" style="592" customWidth="1"/>
    <col min="11267" max="11268" width="15.140625" style="592" customWidth="1"/>
    <col min="11269" max="11269" width="16.7109375" style="592" customWidth="1"/>
    <col min="11270" max="11520" width="9.140625" style="592"/>
    <col min="11521" max="11521" width="44.5703125" style="592" customWidth="1"/>
    <col min="11522" max="11522" width="29.140625" style="592" customWidth="1"/>
    <col min="11523" max="11524" width="15.140625" style="592" customWidth="1"/>
    <col min="11525" max="11525" width="16.7109375" style="592" customWidth="1"/>
    <col min="11526" max="11776" width="9.140625" style="592"/>
    <col min="11777" max="11777" width="44.5703125" style="592" customWidth="1"/>
    <col min="11778" max="11778" width="29.140625" style="592" customWidth="1"/>
    <col min="11779" max="11780" width="15.140625" style="592" customWidth="1"/>
    <col min="11781" max="11781" width="16.7109375" style="592" customWidth="1"/>
    <col min="11782" max="12032" width="9.140625" style="592"/>
    <col min="12033" max="12033" width="44.5703125" style="592" customWidth="1"/>
    <col min="12034" max="12034" width="29.140625" style="592" customWidth="1"/>
    <col min="12035" max="12036" width="15.140625" style="592" customWidth="1"/>
    <col min="12037" max="12037" width="16.7109375" style="592" customWidth="1"/>
    <col min="12038" max="12288" width="9.140625" style="592"/>
    <col min="12289" max="12289" width="44.5703125" style="592" customWidth="1"/>
    <col min="12290" max="12290" width="29.140625" style="592" customWidth="1"/>
    <col min="12291" max="12292" width="15.140625" style="592" customWidth="1"/>
    <col min="12293" max="12293" width="16.7109375" style="592" customWidth="1"/>
    <col min="12294" max="12544" width="9.140625" style="592"/>
    <col min="12545" max="12545" width="44.5703125" style="592" customWidth="1"/>
    <col min="12546" max="12546" width="29.140625" style="592" customWidth="1"/>
    <col min="12547" max="12548" width="15.140625" style="592" customWidth="1"/>
    <col min="12549" max="12549" width="16.7109375" style="592" customWidth="1"/>
    <col min="12550" max="12800" width="9.140625" style="592"/>
    <col min="12801" max="12801" width="44.5703125" style="592" customWidth="1"/>
    <col min="12802" max="12802" width="29.140625" style="592" customWidth="1"/>
    <col min="12803" max="12804" width="15.140625" style="592" customWidth="1"/>
    <col min="12805" max="12805" width="16.7109375" style="592" customWidth="1"/>
    <col min="12806" max="13056" width="9.140625" style="592"/>
    <col min="13057" max="13057" width="44.5703125" style="592" customWidth="1"/>
    <col min="13058" max="13058" width="29.140625" style="592" customWidth="1"/>
    <col min="13059" max="13060" width="15.140625" style="592" customWidth="1"/>
    <col min="13061" max="13061" width="16.7109375" style="592" customWidth="1"/>
    <col min="13062" max="13312" width="9.140625" style="592"/>
    <col min="13313" max="13313" width="44.5703125" style="592" customWidth="1"/>
    <col min="13314" max="13314" width="29.140625" style="592" customWidth="1"/>
    <col min="13315" max="13316" width="15.140625" style="592" customWidth="1"/>
    <col min="13317" max="13317" width="16.7109375" style="592" customWidth="1"/>
    <col min="13318" max="13568" width="9.140625" style="592"/>
    <col min="13569" max="13569" width="44.5703125" style="592" customWidth="1"/>
    <col min="13570" max="13570" width="29.140625" style="592" customWidth="1"/>
    <col min="13571" max="13572" width="15.140625" style="592" customWidth="1"/>
    <col min="13573" max="13573" width="16.7109375" style="592" customWidth="1"/>
    <col min="13574" max="13824" width="9.140625" style="592"/>
    <col min="13825" max="13825" width="44.5703125" style="592" customWidth="1"/>
    <col min="13826" max="13826" width="29.140625" style="592" customWidth="1"/>
    <col min="13827" max="13828" width="15.140625" style="592" customWidth="1"/>
    <col min="13829" max="13829" width="16.7109375" style="592" customWidth="1"/>
    <col min="13830" max="14080" width="9.140625" style="592"/>
    <col min="14081" max="14081" width="44.5703125" style="592" customWidth="1"/>
    <col min="14082" max="14082" width="29.140625" style="592" customWidth="1"/>
    <col min="14083" max="14084" width="15.140625" style="592" customWidth="1"/>
    <col min="14085" max="14085" width="16.7109375" style="592" customWidth="1"/>
    <col min="14086" max="14336" width="9.140625" style="592"/>
    <col min="14337" max="14337" width="44.5703125" style="592" customWidth="1"/>
    <col min="14338" max="14338" width="29.140625" style="592" customWidth="1"/>
    <col min="14339" max="14340" width="15.140625" style="592" customWidth="1"/>
    <col min="14341" max="14341" width="16.7109375" style="592" customWidth="1"/>
    <col min="14342" max="14592" width="9.140625" style="592"/>
    <col min="14593" max="14593" width="44.5703125" style="592" customWidth="1"/>
    <col min="14594" max="14594" width="29.140625" style="592" customWidth="1"/>
    <col min="14595" max="14596" width="15.140625" style="592" customWidth="1"/>
    <col min="14597" max="14597" width="16.7109375" style="592" customWidth="1"/>
    <col min="14598" max="14848" width="9.140625" style="592"/>
    <col min="14849" max="14849" width="44.5703125" style="592" customWidth="1"/>
    <col min="14850" max="14850" width="29.140625" style="592" customWidth="1"/>
    <col min="14851" max="14852" width="15.140625" style="592" customWidth="1"/>
    <col min="14853" max="14853" width="16.7109375" style="592" customWidth="1"/>
    <col min="14854" max="15104" width="9.140625" style="592"/>
    <col min="15105" max="15105" width="44.5703125" style="592" customWidth="1"/>
    <col min="15106" max="15106" width="29.140625" style="592" customWidth="1"/>
    <col min="15107" max="15108" width="15.140625" style="592" customWidth="1"/>
    <col min="15109" max="15109" width="16.7109375" style="592" customWidth="1"/>
    <col min="15110" max="15360" width="9.140625" style="592"/>
    <col min="15361" max="15361" width="44.5703125" style="592" customWidth="1"/>
    <col min="15362" max="15362" width="29.140625" style="592" customWidth="1"/>
    <col min="15363" max="15364" width="15.140625" style="592" customWidth="1"/>
    <col min="15365" max="15365" width="16.7109375" style="592" customWidth="1"/>
    <col min="15366" max="15616" width="9.140625" style="592"/>
    <col min="15617" max="15617" width="44.5703125" style="592" customWidth="1"/>
    <col min="15618" max="15618" width="29.140625" style="592" customWidth="1"/>
    <col min="15619" max="15620" width="15.140625" style="592" customWidth="1"/>
    <col min="15621" max="15621" width="16.7109375" style="592" customWidth="1"/>
    <col min="15622" max="15872" width="9.140625" style="592"/>
    <col min="15873" max="15873" width="44.5703125" style="592" customWidth="1"/>
    <col min="15874" max="15874" width="29.140625" style="592" customWidth="1"/>
    <col min="15875" max="15876" width="15.140625" style="592" customWidth="1"/>
    <col min="15877" max="15877" width="16.7109375" style="592" customWidth="1"/>
    <col min="15878" max="16128" width="9.140625" style="592"/>
    <col min="16129" max="16129" width="44.5703125" style="592" customWidth="1"/>
    <col min="16130" max="16130" width="29.140625" style="592" customWidth="1"/>
    <col min="16131" max="16132" width="15.140625" style="592" customWidth="1"/>
    <col min="16133" max="16133" width="16.7109375" style="592" customWidth="1"/>
    <col min="16134" max="16384" width="9.140625" style="592"/>
  </cols>
  <sheetData>
    <row r="1" spans="1:12" s="423" customFormat="1" ht="15" x14ac:dyDescent="0.25">
      <c r="D1" s="378" t="s">
        <v>227</v>
      </c>
      <c r="E1" s="591"/>
      <c r="F1" s="732"/>
      <c r="G1" s="732"/>
      <c r="H1" s="732"/>
      <c r="I1" s="732"/>
      <c r="J1" s="732"/>
      <c r="K1" s="732"/>
      <c r="L1" s="732"/>
    </row>
    <row r="2" spans="1:12" s="423" customFormat="1" ht="15" x14ac:dyDescent="0.25">
      <c r="D2" s="378" t="s">
        <v>285</v>
      </c>
      <c r="E2" s="591"/>
      <c r="F2" s="732"/>
      <c r="G2" s="732"/>
      <c r="H2" s="732"/>
      <c r="I2" s="732"/>
      <c r="J2" s="732"/>
      <c r="K2" s="732"/>
      <c r="L2" s="732"/>
    </row>
    <row r="3" spans="1:12" s="423" customFormat="1" ht="15" x14ac:dyDescent="0.25">
      <c r="D3" s="378" t="s">
        <v>9</v>
      </c>
      <c r="E3" s="591"/>
      <c r="F3" s="732"/>
      <c r="G3" s="732"/>
      <c r="H3" s="732"/>
      <c r="I3" s="732"/>
      <c r="J3" s="732"/>
      <c r="K3" s="732"/>
      <c r="L3" s="732"/>
    </row>
    <row r="4" spans="1:12" s="423" customFormat="1" ht="15" x14ac:dyDescent="0.25">
      <c r="D4" s="378" t="s">
        <v>390</v>
      </c>
      <c r="E4" s="591"/>
      <c r="F4" s="732"/>
      <c r="G4" s="732"/>
      <c r="H4" s="732"/>
      <c r="I4" s="732"/>
      <c r="J4" s="732"/>
      <c r="K4" s="732"/>
      <c r="L4" s="732"/>
    </row>
    <row r="5" spans="1:12" s="423" customFormat="1" ht="15" x14ac:dyDescent="0.25">
      <c r="D5" s="378" t="s">
        <v>3</v>
      </c>
      <c r="E5" s="591"/>
      <c r="F5" s="732"/>
      <c r="G5" s="732"/>
      <c r="H5" s="732"/>
      <c r="I5" s="732"/>
      <c r="J5" s="732"/>
      <c r="K5" s="732"/>
      <c r="L5" s="732"/>
    </row>
    <row r="6" spans="1:12" s="594" customFormat="1" ht="15" x14ac:dyDescent="0.25">
      <c r="A6" s="592"/>
      <c r="B6" s="593"/>
      <c r="C6" s="593"/>
      <c r="D6" s="378" t="s">
        <v>523</v>
      </c>
      <c r="E6" s="591"/>
      <c r="F6" s="733"/>
      <c r="G6" s="733"/>
      <c r="H6" s="733"/>
      <c r="I6" s="733"/>
      <c r="J6" s="733"/>
      <c r="K6" s="733"/>
      <c r="L6" s="733"/>
    </row>
    <row r="7" spans="1:12" s="423" customFormat="1" ht="15" x14ac:dyDescent="0.25">
      <c r="D7" s="378"/>
      <c r="E7" s="591"/>
      <c r="F7" s="732"/>
      <c r="G7" s="732"/>
      <c r="H7" s="732"/>
      <c r="I7" s="732"/>
      <c r="J7" s="732"/>
      <c r="K7" s="732"/>
      <c r="L7" s="732"/>
    </row>
    <row r="8" spans="1:12" s="423" customFormat="1" ht="15" x14ac:dyDescent="0.25">
      <c r="D8" s="378" t="s">
        <v>227</v>
      </c>
      <c r="E8" s="591"/>
      <c r="F8" s="732"/>
      <c r="G8" s="732"/>
      <c r="H8" s="732"/>
      <c r="I8" s="732"/>
      <c r="J8" s="732"/>
      <c r="K8" s="732"/>
      <c r="L8" s="732"/>
    </row>
    <row r="9" spans="1:12" s="423" customFormat="1" ht="15" x14ac:dyDescent="0.25">
      <c r="D9" s="378" t="s">
        <v>285</v>
      </c>
      <c r="E9" s="591"/>
      <c r="F9" s="732"/>
      <c r="G9" s="732"/>
      <c r="H9" s="732"/>
      <c r="I9" s="732"/>
      <c r="J9" s="732"/>
      <c r="K9" s="732"/>
      <c r="L9" s="732"/>
    </row>
    <row r="10" spans="1:12" s="423" customFormat="1" ht="15" x14ac:dyDescent="0.25">
      <c r="D10" s="378" t="s">
        <v>9</v>
      </c>
      <c r="E10" s="591"/>
      <c r="F10" s="732"/>
      <c r="G10" s="732"/>
      <c r="H10" s="732"/>
      <c r="I10" s="732"/>
      <c r="J10" s="732"/>
      <c r="K10" s="732"/>
      <c r="L10" s="732"/>
    </row>
    <row r="11" spans="1:12" s="423" customFormat="1" ht="15" x14ac:dyDescent="0.25">
      <c r="D11" s="378" t="s">
        <v>390</v>
      </c>
      <c r="E11" s="591"/>
      <c r="F11" s="732"/>
      <c r="G11" s="732"/>
      <c r="H11" s="732"/>
      <c r="I11" s="732"/>
      <c r="J11" s="732"/>
      <c r="K11" s="732"/>
      <c r="L11" s="732"/>
    </row>
    <row r="12" spans="1:12" s="423" customFormat="1" ht="15" x14ac:dyDescent="0.25">
      <c r="D12" s="378" t="s">
        <v>3</v>
      </c>
      <c r="E12" s="591"/>
      <c r="F12" s="732"/>
      <c r="G12" s="732"/>
      <c r="H12" s="732"/>
      <c r="I12" s="732"/>
      <c r="J12" s="732"/>
      <c r="K12" s="732"/>
      <c r="L12" s="732"/>
    </row>
    <row r="13" spans="1:12" s="594" customFormat="1" ht="15" x14ac:dyDescent="0.25">
      <c r="A13" s="592"/>
      <c r="B13" s="593"/>
      <c r="C13" s="593"/>
      <c r="D13" s="378" t="s">
        <v>522</v>
      </c>
      <c r="E13" s="591"/>
      <c r="F13" s="733"/>
      <c r="G13" s="733"/>
      <c r="H13" s="733"/>
      <c r="I13" s="733"/>
      <c r="J13" s="733"/>
      <c r="K13" s="733"/>
      <c r="L13" s="733"/>
    </row>
    <row r="14" spans="1:12" s="423" customFormat="1" ht="15" x14ac:dyDescent="0.25">
      <c r="D14" s="378"/>
      <c r="E14" s="591"/>
      <c r="F14" s="732"/>
      <c r="G14" s="732"/>
      <c r="H14" s="732"/>
      <c r="I14" s="732"/>
      <c r="J14" s="732"/>
      <c r="K14" s="732"/>
      <c r="L14" s="732"/>
    </row>
    <row r="15" spans="1:12" s="423" customFormat="1" ht="15" hidden="1" x14ac:dyDescent="0.25">
      <c r="D15" s="378" t="s">
        <v>227</v>
      </c>
      <c r="E15" s="591"/>
      <c r="F15" s="732"/>
      <c r="G15" s="732"/>
      <c r="H15" s="732"/>
      <c r="I15" s="732"/>
      <c r="J15" s="732"/>
      <c r="K15" s="732"/>
      <c r="L15" s="732"/>
    </row>
    <row r="16" spans="1:12" s="423" customFormat="1" ht="15" hidden="1" x14ac:dyDescent="0.25">
      <c r="D16" s="378" t="s">
        <v>285</v>
      </c>
      <c r="E16" s="591"/>
      <c r="F16" s="732"/>
      <c r="G16" s="732"/>
      <c r="H16" s="732"/>
      <c r="I16" s="732"/>
      <c r="J16" s="732"/>
      <c r="K16" s="732"/>
      <c r="L16" s="732"/>
    </row>
    <row r="17" spans="1:12" s="423" customFormat="1" ht="15" hidden="1" x14ac:dyDescent="0.25">
      <c r="D17" s="378" t="s">
        <v>9</v>
      </c>
      <c r="E17" s="591"/>
      <c r="F17" s="732"/>
      <c r="G17" s="732"/>
      <c r="H17" s="732"/>
      <c r="I17" s="732"/>
      <c r="J17" s="732"/>
      <c r="K17" s="732"/>
      <c r="L17" s="732"/>
    </row>
    <row r="18" spans="1:12" s="423" customFormat="1" ht="15" hidden="1" x14ac:dyDescent="0.25">
      <c r="D18" s="378" t="s">
        <v>390</v>
      </c>
      <c r="E18" s="591"/>
      <c r="F18" s="732"/>
      <c r="G18" s="732"/>
      <c r="H18" s="732"/>
      <c r="I18" s="732"/>
      <c r="J18" s="732"/>
      <c r="K18" s="732"/>
      <c r="L18" s="732"/>
    </row>
    <row r="19" spans="1:12" s="423" customFormat="1" ht="15" hidden="1" x14ac:dyDescent="0.25">
      <c r="D19" s="378" t="s">
        <v>3</v>
      </c>
      <c r="E19" s="591"/>
      <c r="F19" s="732"/>
      <c r="G19" s="732"/>
      <c r="H19" s="732"/>
      <c r="I19" s="732"/>
      <c r="J19" s="732"/>
      <c r="K19" s="732"/>
      <c r="L19" s="732"/>
    </row>
    <row r="20" spans="1:12" s="594" customFormat="1" ht="15" hidden="1" x14ac:dyDescent="0.25">
      <c r="A20" s="592"/>
      <c r="B20" s="593"/>
      <c r="C20" s="593"/>
      <c r="D20" s="378" t="s">
        <v>434</v>
      </c>
      <c r="E20" s="591"/>
      <c r="F20" s="733"/>
      <c r="G20" s="733"/>
      <c r="H20" s="733"/>
      <c r="I20" s="733"/>
      <c r="J20" s="733"/>
      <c r="K20" s="733"/>
      <c r="L20" s="733"/>
    </row>
    <row r="21" spans="1:12" s="595" customFormat="1" ht="15.75" x14ac:dyDescent="0.2">
      <c r="A21" s="746"/>
      <c r="B21" s="746"/>
      <c r="C21" s="746"/>
      <c r="D21" s="746"/>
      <c r="E21" s="746"/>
      <c r="F21" s="734"/>
      <c r="G21" s="734"/>
      <c r="H21" s="734"/>
      <c r="I21" s="734"/>
      <c r="J21" s="734"/>
      <c r="K21" s="734"/>
      <c r="L21" s="734"/>
    </row>
    <row r="22" spans="1:12" s="595" customFormat="1" ht="15.75" x14ac:dyDescent="0.2">
      <c r="A22" s="746" t="s">
        <v>458</v>
      </c>
      <c r="B22" s="746"/>
      <c r="C22" s="746"/>
      <c r="D22" s="746"/>
      <c r="E22" s="746"/>
      <c r="F22" s="734"/>
      <c r="G22" s="734"/>
      <c r="H22" s="734"/>
      <c r="I22" s="734"/>
      <c r="J22" s="734"/>
      <c r="K22" s="734"/>
      <c r="L22" s="734"/>
    </row>
    <row r="23" spans="1:12" s="595" customFormat="1" ht="15.75" x14ac:dyDescent="0.2">
      <c r="A23" s="746" t="s">
        <v>459</v>
      </c>
      <c r="B23" s="746"/>
      <c r="C23" s="746"/>
      <c r="D23" s="746"/>
      <c r="E23" s="746"/>
      <c r="F23" s="734"/>
      <c r="G23" s="734"/>
      <c r="H23" s="734"/>
      <c r="I23" s="734"/>
      <c r="J23" s="734"/>
      <c r="K23" s="734"/>
      <c r="L23" s="734"/>
    </row>
    <row r="24" spans="1:12" s="595" customFormat="1" ht="15.75" x14ac:dyDescent="0.2">
      <c r="A24" s="746" t="s">
        <v>472</v>
      </c>
      <c r="B24" s="746"/>
      <c r="C24" s="746"/>
      <c r="D24" s="746"/>
      <c r="E24" s="746"/>
      <c r="F24" s="734"/>
      <c r="G24" s="734"/>
      <c r="H24" s="734"/>
      <c r="I24" s="734"/>
      <c r="J24" s="734"/>
      <c r="K24" s="734"/>
      <c r="L24" s="734"/>
    </row>
    <row r="25" spans="1:12" s="595" customFormat="1" ht="15.75" x14ac:dyDescent="0.25">
      <c r="A25" s="747"/>
      <c r="B25" s="747"/>
      <c r="C25" s="747"/>
      <c r="D25" s="747"/>
      <c r="E25" s="747"/>
      <c r="F25" s="734"/>
      <c r="G25" s="734"/>
      <c r="H25" s="734"/>
      <c r="I25" s="734"/>
      <c r="J25" s="734"/>
      <c r="K25" s="734"/>
      <c r="L25" s="734"/>
    </row>
    <row r="26" spans="1:12" s="450" customFormat="1" ht="15.75" x14ac:dyDescent="0.25">
      <c r="A26" s="748" t="s">
        <v>0</v>
      </c>
      <c r="B26" s="749" t="s">
        <v>219</v>
      </c>
      <c r="C26" s="748" t="s">
        <v>22</v>
      </c>
      <c r="D26" s="748"/>
      <c r="E26" s="748"/>
      <c r="F26" s="735"/>
      <c r="G26" s="735"/>
      <c r="H26" s="735"/>
      <c r="I26" s="735"/>
      <c r="J26" s="735"/>
      <c r="K26" s="735"/>
      <c r="L26" s="735"/>
    </row>
    <row r="27" spans="1:12" s="450" customFormat="1" ht="15.75" x14ac:dyDescent="0.25">
      <c r="A27" s="748"/>
      <c r="B27" s="749"/>
      <c r="C27" s="588" t="s">
        <v>317</v>
      </c>
      <c r="D27" s="588" t="s">
        <v>343</v>
      </c>
      <c r="E27" s="588" t="s">
        <v>473</v>
      </c>
      <c r="F27" s="735"/>
      <c r="G27" s="735"/>
      <c r="H27" s="735"/>
      <c r="I27" s="735"/>
      <c r="J27" s="735"/>
      <c r="K27" s="735"/>
      <c r="L27" s="735"/>
    </row>
    <row r="28" spans="1:12" s="599" customFormat="1" ht="24.75" customHeight="1" x14ac:dyDescent="0.2">
      <c r="A28" s="596" t="s">
        <v>423</v>
      </c>
      <c r="B28" s="597" t="s">
        <v>228</v>
      </c>
      <c r="C28" s="598">
        <f>C29</f>
        <v>120000</v>
      </c>
      <c r="D28" s="598">
        <f>D29</f>
        <v>20100.000002000055</v>
      </c>
      <c r="E28" s="598">
        <f>E29</f>
        <v>21000.000004000114</v>
      </c>
      <c r="F28" s="736"/>
      <c r="G28" s="736"/>
      <c r="H28" s="736"/>
      <c r="I28" s="736"/>
      <c r="J28" s="736"/>
      <c r="K28" s="736"/>
      <c r="L28" s="736"/>
    </row>
    <row r="29" spans="1:12" s="599" customFormat="1" ht="22.5" customHeight="1" x14ac:dyDescent="0.2">
      <c r="A29" s="600" t="s">
        <v>229</v>
      </c>
      <c r="B29" s="601" t="s">
        <v>230</v>
      </c>
      <c r="C29" s="602">
        <f>пр.4!G21-пр.2!C78</f>
        <v>120000</v>
      </c>
      <c r="D29" s="602">
        <f>пр.4!H21-пр.2!D78+D31</f>
        <v>20100.000002000055</v>
      </c>
      <c r="E29" s="602">
        <f>пр.4!I21-пр.2!E78+E31</f>
        <v>21000.000004000114</v>
      </c>
      <c r="F29" s="737"/>
      <c r="G29" s="736"/>
      <c r="H29" s="736"/>
      <c r="I29" s="736"/>
      <c r="J29" s="736"/>
      <c r="K29" s="736"/>
      <c r="L29" s="736"/>
    </row>
    <row r="30" spans="1:12" s="603" customFormat="1" ht="15.75" x14ac:dyDescent="0.25">
      <c r="B30" s="604"/>
      <c r="C30" s="605">
        <f>28300</f>
        <v>28300</v>
      </c>
      <c r="D30" s="605">
        <v>20100</v>
      </c>
      <c r="E30" s="605">
        <v>21000</v>
      </c>
      <c r="F30" s="606"/>
    </row>
    <row r="31" spans="1:12" s="607" customFormat="1" ht="15" x14ac:dyDescent="0.25">
      <c r="B31" s="604"/>
      <c r="C31" s="608" t="s">
        <v>495</v>
      </c>
      <c r="D31" s="605">
        <f>20100-10349.88806+20100-19810.01</f>
        <v>10040.101940000004</v>
      </c>
      <c r="E31" s="605">
        <f>21000+1351.45757+21000-21843.81</f>
        <v>21507.647569999997</v>
      </c>
    </row>
    <row r="32" spans="1:12" s="607" customFormat="1" ht="15" x14ac:dyDescent="0.25">
      <c r="B32" s="604"/>
      <c r="C32" s="608"/>
      <c r="D32" s="605"/>
      <c r="E32" s="605"/>
    </row>
    <row r="33" spans="1:12" s="738" customFormat="1" ht="15" x14ac:dyDescent="0.25">
      <c r="A33" s="742"/>
      <c r="B33" s="739"/>
      <c r="C33" s="745"/>
      <c r="D33" s="740"/>
      <c r="E33" s="740"/>
    </row>
    <row r="34" spans="1:12" s="738" customFormat="1" ht="15" x14ac:dyDescent="0.25">
      <c r="B34" s="739"/>
      <c r="C34" s="741"/>
      <c r="D34" s="740"/>
      <c r="E34" s="740"/>
      <c r="F34" s="739"/>
    </row>
    <row r="35" spans="1:12" s="738" customFormat="1" ht="15" x14ac:dyDescent="0.25">
      <c r="B35" s="739"/>
      <c r="C35" s="740"/>
      <c r="D35" s="743"/>
      <c r="E35" s="744"/>
      <c r="F35" s="739"/>
    </row>
    <row r="36" spans="1:12" s="738" customFormat="1" ht="15" x14ac:dyDescent="0.25">
      <c r="B36" s="739"/>
      <c r="C36" s="741"/>
      <c r="D36" s="740"/>
      <c r="E36" s="740"/>
      <c r="F36" s="739"/>
    </row>
    <row r="37" spans="1:12" s="738" customFormat="1" ht="15" x14ac:dyDescent="0.25">
      <c r="B37" s="739"/>
      <c r="C37" s="740"/>
      <c r="D37" s="739"/>
      <c r="E37" s="739"/>
      <c r="F37" s="739"/>
    </row>
    <row r="38" spans="1:12" s="738" customFormat="1" ht="15" x14ac:dyDescent="0.25">
      <c r="B38" s="740"/>
      <c r="C38" s="740"/>
      <c r="D38" s="739"/>
      <c r="E38" s="739"/>
      <c r="F38" s="739"/>
    </row>
    <row r="39" spans="1:12" s="738" customFormat="1" ht="15" x14ac:dyDescent="0.25">
      <c r="B39" s="739"/>
      <c r="C39" s="739"/>
      <c r="D39" s="739"/>
      <c r="E39" s="739"/>
      <c r="F39" s="739"/>
    </row>
    <row r="40" spans="1:12" s="738" customFormat="1" x14ac:dyDescent="0.2">
      <c r="C40" s="742"/>
    </row>
    <row r="41" spans="1:12" s="738" customFormat="1" x14ac:dyDescent="0.2"/>
    <row r="42" spans="1:12" s="738" customFormat="1" x14ac:dyDescent="0.2"/>
    <row r="43" spans="1:12" s="738" customFormat="1" x14ac:dyDescent="0.2"/>
    <row r="44" spans="1:12" s="738" customFormat="1" x14ac:dyDescent="0.2"/>
    <row r="45" spans="1:12" s="738" customFormat="1" x14ac:dyDescent="0.2"/>
    <row r="46" spans="1:12" s="738" customFormat="1" x14ac:dyDescent="0.2">
      <c r="B46" s="742"/>
    </row>
    <row r="47" spans="1:12" s="738" customFormat="1" x14ac:dyDescent="0.2"/>
    <row r="48" spans="1:12" s="607" customFormat="1" x14ac:dyDescent="0.2">
      <c r="F48" s="738"/>
      <c r="G48" s="738"/>
      <c r="H48" s="738"/>
      <c r="I48" s="738"/>
      <c r="J48" s="738"/>
      <c r="K48" s="738"/>
      <c r="L48" s="738"/>
    </row>
    <row r="49" spans="3:12" s="607" customFormat="1" x14ac:dyDescent="0.2">
      <c r="C49" s="609"/>
      <c r="D49" s="609"/>
      <c r="E49" s="609"/>
      <c r="F49" s="738"/>
      <c r="G49" s="738"/>
      <c r="H49" s="738"/>
      <c r="I49" s="738"/>
      <c r="J49" s="738"/>
      <c r="K49" s="738"/>
      <c r="L49" s="738"/>
    </row>
    <row r="50" spans="3:12" s="607" customFormat="1" x14ac:dyDescent="0.2">
      <c r="F50" s="738"/>
      <c r="G50" s="738"/>
      <c r="H50" s="738"/>
      <c r="I50" s="738"/>
      <c r="J50" s="738"/>
      <c r="K50" s="738"/>
      <c r="L50" s="738"/>
    </row>
    <row r="51" spans="3:12" s="607" customFormat="1" x14ac:dyDescent="0.2">
      <c r="F51" s="738"/>
      <c r="G51" s="738"/>
      <c r="H51" s="738"/>
      <c r="I51" s="738"/>
      <c r="J51" s="738"/>
      <c r="K51" s="738"/>
      <c r="L51" s="738"/>
    </row>
    <row r="52" spans="3:12" s="607" customFormat="1" x14ac:dyDescent="0.2">
      <c r="F52" s="738"/>
      <c r="G52" s="738"/>
      <c r="H52" s="738"/>
      <c r="I52" s="738"/>
      <c r="J52" s="738"/>
      <c r="K52" s="738"/>
      <c r="L52" s="738"/>
    </row>
  </sheetData>
  <mergeCells count="8">
    <mergeCell ref="A21:E21"/>
    <mergeCell ref="A25:E25"/>
    <mergeCell ref="A26:A27"/>
    <mergeCell ref="B26:B27"/>
    <mergeCell ref="C26:E26"/>
    <mergeCell ref="A22:E22"/>
    <mergeCell ref="A23:E23"/>
    <mergeCell ref="A24:E24"/>
  </mergeCells>
  <printOptions horizontalCentered="1"/>
  <pageMargins left="0" right="0" top="1.3779527559055118" bottom="0.39370078740157483" header="0.39370078740157483" footer="0"/>
  <pageSetup paperSize="9" scale="7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2F2F-8E9A-49AC-A7D1-780CEBD1BF92}">
  <sheetPr filterMode="1">
    <tabColor rgb="FF92D050"/>
    <pageSetUpPr fitToPage="1"/>
  </sheetPr>
  <dimension ref="A1:O317"/>
  <sheetViews>
    <sheetView view="pageBreakPreview" topLeftCell="A14" zoomScale="145" zoomScaleNormal="100" zoomScaleSheetLayoutView="145" workbookViewId="0">
      <selection activeCell="H22" activeCellId="1" sqref="A22:A285 H22:H285"/>
    </sheetView>
  </sheetViews>
  <sheetFormatPr defaultColWidth="9" defaultRowHeight="15.75" x14ac:dyDescent="0.25"/>
  <cols>
    <col min="1" max="1" width="57.42578125" style="228" customWidth="1"/>
    <col min="2" max="2" width="1" style="229" hidden="1" customWidth="1"/>
    <col min="3" max="3" width="3.5703125" style="230" hidden="1" customWidth="1"/>
    <col min="4" max="4" width="3.5703125" style="229" hidden="1" customWidth="1"/>
    <col min="5" max="5" width="13.42578125" style="229" hidden="1" customWidth="1"/>
    <col min="6" max="6" width="4.140625" style="229" hidden="1" customWidth="1"/>
    <col min="7" max="7" width="36.42578125" style="583" bestFit="1" customWidth="1"/>
    <col min="8" max="8" width="14.28515625" style="583" customWidth="1"/>
    <col min="9" max="9" width="13.7109375" style="531" bestFit="1" customWidth="1"/>
    <col min="10" max="12" width="13.7109375" style="531" customWidth="1"/>
    <col min="13" max="14" width="13.7109375" style="228" customWidth="1"/>
    <col min="15" max="16384" width="9" style="228"/>
  </cols>
  <sheetData>
    <row r="1" spans="1:14" x14ac:dyDescent="0.25">
      <c r="E1" s="54"/>
      <c r="F1" s="54"/>
      <c r="G1" s="378" t="s">
        <v>437</v>
      </c>
      <c r="H1" s="378"/>
    </row>
    <row r="2" spans="1:14" x14ac:dyDescent="0.25">
      <c r="E2" s="54"/>
      <c r="F2" s="54"/>
      <c r="G2" s="378" t="s">
        <v>285</v>
      </c>
      <c r="H2" s="378"/>
    </row>
    <row r="3" spans="1:14" x14ac:dyDescent="0.25">
      <c r="E3" s="54"/>
      <c r="F3" s="54"/>
      <c r="G3" s="378" t="s">
        <v>9</v>
      </c>
      <c r="H3" s="378"/>
    </row>
    <row r="4" spans="1:14" x14ac:dyDescent="0.25">
      <c r="E4" s="54"/>
      <c r="F4" s="54"/>
      <c r="G4" s="378" t="s">
        <v>390</v>
      </c>
      <c r="H4" s="378"/>
    </row>
    <row r="5" spans="1:14" x14ac:dyDescent="0.25">
      <c r="E5" s="54"/>
      <c r="F5" s="54"/>
      <c r="G5" s="378" t="s">
        <v>3</v>
      </c>
      <c r="H5" s="378"/>
    </row>
    <row r="6" spans="1:14" x14ac:dyDescent="0.25">
      <c r="E6" s="54"/>
      <c r="F6" s="54"/>
      <c r="G6" s="378" t="str">
        <f>пр.1!D13</f>
        <v>от 25.12.2025 №80</v>
      </c>
      <c r="H6" s="378"/>
    </row>
    <row r="7" spans="1:14" x14ac:dyDescent="0.25">
      <c r="E7" s="54"/>
      <c r="F7" s="54"/>
      <c r="G7" s="378"/>
      <c r="H7" s="378"/>
    </row>
    <row r="8" spans="1:14" hidden="1" x14ac:dyDescent="0.25">
      <c r="E8" s="54"/>
      <c r="F8" s="54"/>
      <c r="G8" s="378" t="s">
        <v>438</v>
      </c>
      <c r="H8" s="378"/>
    </row>
    <row r="9" spans="1:14" hidden="1" x14ac:dyDescent="0.25">
      <c r="E9" s="54"/>
      <c r="F9" s="54"/>
      <c r="G9" s="378" t="s">
        <v>285</v>
      </c>
      <c r="H9" s="378"/>
    </row>
    <row r="10" spans="1:14" hidden="1" x14ac:dyDescent="0.25">
      <c r="E10" s="54"/>
      <c r="F10" s="54"/>
      <c r="G10" s="378" t="s">
        <v>9</v>
      </c>
      <c r="H10" s="378"/>
    </row>
    <row r="11" spans="1:14" hidden="1" x14ac:dyDescent="0.25">
      <c r="E11" s="54"/>
      <c r="F11" s="54"/>
      <c r="G11" s="378" t="s">
        <v>390</v>
      </c>
      <c r="H11" s="378"/>
    </row>
    <row r="12" spans="1:14" hidden="1" x14ac:dyDescent="0.25">
      <c r="E12" s="54"/>
      <c r="F12" s="54"/>
      <c r="G12" s="378" t="s">
        <v>3</v>
      </c>
      <c r="H12" s="378"/>
    </row>
    <row r="13" spans="1:14" hidden="1" x14ac:dyDescent="0.25">
      <c r="E13" s="54"/>
      <c r="F13" s="54"/>
      <c r="G13" s="378" t="s">
        <v>434</v>
      </c>
      <c r="H13" s="378"/>
    </row>
    <row r="14" spans="1:14" x14ac:dyDescent="0.25">
      <c r="E14" s="54"/>
      <c r="F14" s="54"/>
      <c r="G14" s="373"/>
      <c r="H14" s="373"/>
    </row>
    <row r="15" spans="1:14" s="231" customFormat="1" x14ac:dyDescent="0.25">
      <c r="A15" s="758" t="s">
        <v>462</v>
      </c>
      <c r="B15" s="758"/>
      <c r="C15" s="758"/>
      <c r="D15" s="758"/>
      <c r="E15" s="758"/>
      <c r="F15" s="758"/>
      <c r="G15" s="758"/>
      <c r="H15" s="758"/>
      <c r="I15" s="758"/>
      <c r="J15" s="758"/>
      <c r="K15" s="758"/>
      <c r="L15" s="758"/>
      <c r="M15" s="758"/>
      <c r="N15" s="586"/>
    </row>
    <row r="16" spans="1:14" s="231" customFormat="1" x14ac:dyDescent="0.25">
      <c r="A16" s="758" t="s">
        <v>459</v>
      </c>
      <c r="B16" s="758"/>
      <c r="C16" s="758"/>
      <c r="D16" s="758"/>
      <c r="E16" s="758"/>
      <c r="F16" s="758"/>
      <c r="G16" s="758"/>
      <c r="H16" s="758"/>
      <c r="I16" s="758"/>
      <c r="J16" s="758"/>
      <c r="K16" s="758"/>
      <c r="L16" s="758"/>
      <c r="M16" s="758"/>
      <c r="N16" s="586"/>
    </row>
    <row r="17" spans="1:14" s="231" customFormat="1" x14ac:dyDescent="0.25">
      <c r="A17" s="758" t="s">
        <v>472</v>
      </c>
      <c r="B17" s="758"/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586"/>
    </row>
    <row r="18" spans="1:14" s="231" customFormat="1" x14ac:dyDescent="0.25">
      <c r="A18" s="232"/>
      <c r="B18" s="232"/>
      <c r="C18" s="232"/>
      <c r="D18" s="232"/>
      <c r="E18" s="232"/>
      <c r="F18" s="232"/>
      <c r="G18" s="555"/>
      <c r="H18" s="555"/>
      <c r="I18" s="532"/>
      <c r="J18" s="532"/>
      <c r="K18" s="532"/>
      <c r="L18" s="532"/>
    </row>
    <row r="19" spans="1:14" s="8" customFormat="1" ht="13.5" thickBot="1" x14ac:dyDescent="0.25">
      <c r="A19" s="587" t="s">
        <v>0</v>
      </c>
      <c r="B19" s="130"/>
      <c r="C19" s="130"/>
      <c r="D19" s="130"/>
      <c r="E19" s="130"/>
      <c r="F19" s="130"/>
      <c r="G19" s="434" t="s">
        <v>317</v>
      </c>
      <c r="H19" s="434" t="s">
        <v>520</v>
      </c>
      <c r="I19" s="218" t="s">
        <v>343</v>
      </c>
      <c r="J19" s="434" t="s">
        <v>520</v>
      </c>
      <c r="K19" s="235" t="s">
        <v>473</v>
      </c>
      <c r="L19" s="434" t="s">
        <v>520</v>
      </c>
      <c r="M19" s="235" t="s">
        <v>473</v>
      </c>
      <c r="N19" s="699"/>
    </row>
    <row r="20" spans="1:14" s="237" customFormat="1" ht="13.5" thickBot="1" x14ac:dyDescent="0.25">
      <c r="A20" s="153" t="s">
        <v>1</v>
      </c>
      <c r="B20" s="172"/>
      <c r="C20" s="210"/>
      <c r="D20" s="210"/>
      <c r="E20" s="210"/>
      <c r="F20" s="210"/>
      <c r="G20" s="556">
        <f>G21</f>
        <v>424741.76309999992</v>
      </c>
      <c r="H20" s="721" t="s">
        <v>521</v>
      </c>
      <c r="I20" s="533">
        <f>I21</f>
        <v>300886.59135200002</v>
      </c>
      <c r="J20" s="721" t="s">
        <v>521</v>
      </c>
      <c r="K20" s="236">
        <f>пр.4!I21</f>
        <v>315964.72843400005</v>
      </c>
      <c r="L20" s="721" t="s">
        <v>521</v>
      </c>
      <c r="M20" s="236">
        <f>M300+M21</f>
        <v>322663.46788400004</v>
      </c>
      <c r="N20" s="700"/>
    </row>
    <row r="21" spans="1:14" s="237" customFormat="1" ht="39" hidden="1" thickBot="1" x14ac:dyDescent="0.25">
      <c r="A21" s="181" t="s">
        <v>426</v>
      </c>
      <c r="B21" s="182" t="s">
        <v>8</v>
      </c>
      <c r="C21" s="238"/>
      <c r="D21" s="238"/>
      <c r="E21" s="238"/>
      <c r="F21" s="238"/>
      <c r="G21" s="557">
        <f>G22+G75+G85+G127+G170+G237+G252+G270+G285</f>
        <v>424741.76309999992</v>
      </c>
      <c r="H21" s="557"/>
      <c r="I21" s="534">
        <f>I22+I75+I85+I127+I170+I237+I252+I271+I278+I285</f>
        <v>300886.59135200002</v>
      </c>
      <c r="J21" s="678"/>
      <c r="K21" s="243">
        <v>75219.801529999997</v>
      </c>
      <c r="L21" s="678"/>
      <c r="M21" s="239">
        <f>M22+M75+M85+M127+M170+M237+M252+M271+M278+M285</f>
        <v>315964.72843400005</v>
      </c>
      <c r="N21" s="700"/>
    </row>
    <row r="22" spans="1:14" s="237" customFormat="1" ht="14.25" thickBot="1" x14ac:dyDescent="0.25">
      <c r="A22" s="240" t="s">
        <v>120</v>
      </c>
      <c r="B22" s="241"/>
      <c r="C22" s="241" t="s">
        <v>30</v>
      </c>
      <c r="D22" s="242"/>
      <c r="E22" s="242"/>
      <c r="F22" s="242"/>
      <c r="G22" s="558">
        <f>SUM(G23+G45+G52+G59)+G301</f>
        <v>78145.046520000004</v>
      </c>
      <c r="H22" s="714">
        <f>G22/G20</f>
        <v>0.18398248844110432</v>
      </c>
      <c r="I22" s="535">
        <f>SUM(I23+I45+I52+I59)+I301</f>
        <v>74262.688529999999</v>
      </c>
      <c r="J22" s="714">
        <f>I22/I20</f>
        <v>0.24681288786020331</v>
      </c>
      <c r="K22" s="264">
        <f>M22</f>
        <v>75219.801529999997</v>
      </c>
      <c r="L22" s="720">
        <f>K22/K20</f>
        <v>0.2380639190418756</v>
      </c>
      <c r="M22" s="243">
        <f>SUM(M23+M45+M52+M59)+M301</f>
        <v>75219.801529999997</v>
      </c>
      <c r="N22" s="701"/>
    </row>
    <row r="23" spans="1:14" s="248" customFormat="1" ht="41.25" hidden="1" thickBot="1" x14ac:dyDescent="0.3">
      <c r="A23" s="244" t="s">
        <v>331</v>
      </c>
      <c r="B23" s="245"/>
      <c r="C23" s="245" t="s">
        <v>30</v>
      </c>
      <c r="D23" s="245" t="s">
        <v>36</v>
      </c>
      <c r="E23" s="245"/>
      <c r="F23" s="245"/>
      <c r="G23" s="559">
        <f>G24</f>
        <v>62579.193570000003</v>
      </c>
      <c r="H23" s="559"/>
      <c r="I23" s="536">
        <f>I24</f>
        <v>61180.099580000002</v>
      </c>
      <c r="J23" s="715">
        <v>5.2434439616227948E-3</v>
      </c>
      <c r="K23" s="247">
        <v>4260.3999999999996</v>
      </c>
      <c r="L23" s="679"/>
      <c r="M23" s="247">
        <f>M24</f>
        <v>61688.691580000006</v>
      </c>
      <c r="N23" s="702"/>
    </row>
    <row r="24" spans="1:14" s="248" customFormat="1" ht="39" hidden="1" thickBot="1" x14ac:dyDescent="0.3">
      <c r="A24" s="249" t="s">
        <v>10</v>
      </c>
      <c r="B24" s="250"/>
      <c r="C24" s="250" t="s">
        <v>30</v>
      </c>
      <c r="D24" s="250" t="s">
        <v>36</v>
      </c>
      <c r="E24" s="250" t="s">
        <v>11</v>
      </c>
      <c r="F24" s="250"/>
      <c r="G24" s="560">
        <f>SUM(G25+G40)</f>
        <v>62579.193570000003</v>
      </c>
      <c r="H24" s="560"/>
      <c r="I24" s="537">
        <f>SUM(I25+I40)</f>
        <v>61180.099580000002</v>
      </c>
      <c r="J24" s="716">
        <v>3.6786076208414897E-2</v>
      </c>
      <c r="K24" s="247">
        <v>25138.805</v>
      </c>
      <c r="L24" s="680"/>
      <c r="M24" s="251">
        <f>SUM(M25+M40)</f>
        <v>61688.691580000006</v>
      </c>
      <c r="N24" s="703"/>
    </row>
    <row r="25" spans="1:14" s="248" customFormat="1" ht="39" hidden="1" thickBot="1" x14ac:dyDescent="0.3">
      <c r="A25" s="89" t="s">
        <v>385</v>
      </c>
      <c r="B25" s="112"/>
      <c r="C25" s="112" t="s">
        <v>30</v>
      </c>
      <c r="D25" s="112" t="s">
        <v>36</v>
      </c>
      <c r="E25" s="112" t="s">
        <v>12</v>
      </c>
      <c r="F25" s="112"/>
      <c r="G25" s="561">
        <f>SUM(G26)</f>
        <v>59807.645700000001</v>
      </c>
      <c r="H25" s="561"/>
      <c r="I25" s="333">
        <f>SUM(I26)</f>
        <v>58408.55171</v>
      </c>
      <c r="J25" s="716">
        <v>0.1629308819546133</v>
      </c>
      <c r="K25" s="247">
        <v>55645.803044</v>
      </c>
      <c r="L25" s="681"/>
      <c r="M25" s="253">
        <f>SUM(M26)</f>
        <v>58917.143710000004</v>
      </c>
      <c r="N25" s="704"/>
    </row>
    <row r="26" spans="1:14" s="248" customFormat="1" ht="14.25" hidden="1" thickBot="1" x14ac:dyDescent="0.3">
      <c r="A26" s="9" t="s">
        <v>13</v>
      </c>
      <c r="B26" s="254"/>
      <c r="C26" s="5" t="s">
        <v>30</v>
      </c>
      <c r="D26" s="5" t="s">
        <v>36</v>
      </c>
      <c r="E26" s="5" t="s">
        <v>14</v>
      </c>
      <c r="F26" s="254"/>
      <c r="G26" s="562">
        <f>SUM(G27+G38+G34)</f>
        <v>59807.645700000001</v>
      </c>
      <c r="H26" s="562"/>
      <c r="I26" s="287">
        <f>SUM(I27+I38+I34)</f>
        <v>58408.55171</v>
      </c>
      <c r="J26" s="716">
        <v>0.24578345739803023</v>
      </c>
      <c r="K26" s="247">
        <v>1663.1</v>
      </c>
      <c r="L26" s="682"/>
      <c r="M26" s="11">
        <f>SUM(M27+M38+M34)</f>
        <v>58917.143710000004</v>
      </c>
      <c r="N26" s="705"/>
    </row>
    <row r="27" spans="1:14" s="237" customFormat="1" ht="14.25" hidden="1" thickBot="1" x14ac:dyDescent="0.25">
      <c r="A27" s="9" t="s">
        <v>70</v>
      </c>
      <c r="B27" s="5"/>
      <c r="C27" s="5" t="s">
        <v>30</v>
      </c>
      <c r="D27" s="5" t="s">
        <v>36</v>
      </c>
      <c r="E27" s="5" t="s">
        <v>121</v>
      </c>
      <c r="F27" s="254"/>
      <c r="G27" s="562">
        <f>G28+G30+G32</f>
        <v>58942.525700000006</v>
      </c>
      <c r="H27" s="562"/>
      <c r="I27" s="287">
        <f>I28+I30+I32</f>
        <v>58408.55171</v>
      </c>
      <c r="J27" s="716">
        <v>3.8520945545431878E-3</v>
      </c>
      <c r="K27" s="247">
        <v>74575.554860000004</v>
      </c>
      <c r="L27" s="682"/>
      <c r="M27" s="11">
        <f>M28+M30+M32</f>
        <v>58917.143710000004</v>
      </c>
      <c r="N27" s="705"/>
    </row>
    <row r="28" spans="1:14" s="237" customFormat="1" ht="51.75" hidden="1" thickBot="1" x14ac:dyDescent="0.25">
      <c r="A28" s="10" t="s">
        <v>409</v>
      </c>
      <c r="B28" s="5"/>
      <c r="C28" s="5" t="s">
        <v>30</v>
      </c>
      <c r="D28" s="5" t="s">
        <v>36</v>
      </c>
      <c r="E28" s="5" t="s">
        <v>121</v>
      </c>
      <c r="F28" s="5" t="s">
        <v>72</v>
      </c>
      <c r="G28" s="562">
        <f>G29</f>
        <v>50134.752110000001</v>
      </c>
      <c r="H28" s="562"/>
      <c r="I28" s="287">
        <f>I29</f>
        <v>50134.752110000001</v>
      </c>
      <c r="J28" s="716">
        <v>0.17073917533771693</v>
      </c>
      <c r="K28" s="247">
        <v>2256.7440000000001</v>
      </c>
      <c r="L28" s="682"/>
      <c r="M28" s="11">
        <f>M29</f>
        <v>50134.752110000001</v>
      </c>
      <c r="N28" s="705"/>
    </row>
    <row r="29" spans="1:14" s="237" customFormat="1" ht="26.25" hidden="1" thickBot="1" x14ac:dyDescent="0.25">
      <c r="A29" s="10" t="s">
        <v>73</v>
      </c>
      <c r="B29" s="5"/>
      <c r="C29" s="5" t="s">
        <v>30</v>
      </c>
      <c r="D29" s="5" t="s">
        <v>36</v>
      </c>
      <c r="E29" s="5" t="s">
        <v>121</v>
      </c>
      <c r="F29" s="5" t="s">
        <v>74</v>
      </c>
      <c r="G29" s="562">
        <v>50134.752110000001</v>
      </c>
      <c r="H29" s="562"/>
      <c r="I29" s="287">
        <v>50134.752110000001</v>
      </c>
      <c r="J29" s="716">
        <v>6.0132235976248999E-3</v>
      </c>
      <c r="K29" s="246">
        <v>74019.06</v>
      </c>
      <c r="L29" s="682"/>
      <c r="M29" s="11">
        <f>I29</f>
        <v>50134.752110000001</v>
      </c>
      <c r="N29" s="705"/>
    </row>
    <row r="30" spans="1:14" s="237" customFormat="1" ht="26.25" hidden="1" thickBot="1" x14ac:dyDescent="0.25">
      <c r="A30" s="10" t="s">
        <v>31</v>
      </c>
      <c r="B30" s="5"/>
      <c r="C30" s="5" t="s">
        <v>30</v>
      </c>
      <c r="D30" s="5" t="s">
        <v>36</v>
      </c>
      <c r="E30" s="5" t="s">
        <v>121</v>
      </c>
      <c r="F30" s="5" t="s">
        <v>66</v>
      </c>
      <c r="G30" s="562">
        <f>G31</f>
        <v>8315.9740399999991</v>
      </c>
      <c r="H30" s="562"/>
      <c r="I30" s="287">
        <f>I31</f>
        <v>7916.7995999999994</v>
      </c>
      <c r="J30" s="716">
        <v>0.17144394080837322</v>
      </c>
      <c r="K30" s="682"/>
      <c r="L30" s="682"/>
      <c r="M30" s="11">
        <f>M31</f>
        <v>8425.3916000000008</v>
      </c>
      <c r="N30" s="705"/>
    </row>
    <row r="31" spans="1:14" s="237" customFormat="1" ht="26.25" hidden="1" thickBot="1" x14ac:dyDescent="0.25">
      <c r="A31" s="10" t="s">
        <v>67</v>
      </c>
      <c r="B31" s="5"/>
      <c r="C31" s="5" t="s">
        <v>30</v>
      </c>
      <c r="D31" s="5" t="s">
        <v>36</v>
      </c>
      <c r="E31" s="5" t="s">
        <v>121</v>
      </c>
      <c r="F31" s="5" t="s">
        <v>68</v>
      </c>
      <c r="G31" s="562">
        <f>8426.67104-25.4186-85.2784</f>
        <v>8315.9740399999991</v>
      </c>
      <c r="H31" s="562"/>
      <c r="I31" s="287">
        <f>8184.878-85.2784-182.8</f>
        <v>7916.7995999999994</v>
      </c>
      <c r="J31" s="682"/>
      <c r="K31" s="682"/>
      <c r="L31" s="682"/>
      <c r="M31" s="11">
        <f>8606.08-85.2784+87.39-182.8</f>
        <v>8425.3916000000008</v>
      </c>
      <c r="N31" s="705"/>
    </row>
    <row r="32" spans="1:14" s="8" customFormat="1" ht="13.5" hidden="1" thickBot="1" x14ac:dyDescent="0.25">
      <c r="A32" s="10" t="s">
        <v>33</v>
      </c>
      <c r="B32" s="5"/>
      <c r="C32" s="5" t="s">
        <v>30</v>
      </c>
      <c r="D32" s="5" t="s">
        <v>36</v>
      </c>
      <c r="E32" s="5" t="s">
        <v>121</v>
      </c>
      <c r="F32" s="5" t="s">
        <v>75</v>
      </c>
      <c r="G32" s="562">
        <f>G33</f>
        <v>491.79955000000001</v>
      </c>
      <c r="H32" s="562"/>
      <c r="I32" s="287">
        <f>I33</f>
        <v>357</v>
      </c>
      <c r="J32" s="287"/>
      <c r="K32" s="287"/>
      <c r="L32" s="287"/>
      <c r="M32" s="6">
        <f>M33</f>
        <v>357</v>
      </c>
      <c r="N32" s="705"/>
    </row>
    <row r="33" spans="1:14" s="8" customFormat="1" ht="13.5" hidden="1" thickBot="1" x14ac:dyDescent="0.25">
      <c r="A33" s="10" t="s">
        <v>76</v>
      </c>
      <c r="B33" s="5"/>
      <c r="C33" s="5" t="s">
        <v>30</v>
      </c>
      <c r="D33" s="5" t="s">
        <v>36</v>
      </c>
      <c r="E33" s="5" t="s">
        <v>121</v>
      </c>
      <c r="F33" s="5" t="s">
        <v>77</v>
      </c>
      <c r="G33" s="562">
        <v>491.79955000000001</v>
      </c>
      <c r="H33" s="562"/>
      <c r="I33" s="287">
        <v>357</v>
      </c>
      <c r="J33" s="682"/>
      <c r="K33" s="682"/>
      <c r="L33" s="682"/>
      <c r="M33" s="11">
        <v>357</v>
      </c>
      <c r="N33" s="705"/>
    </row>
    <row r="34" spans="1:14" s="8" customFormat="1" ht="39" hidden="1" thickBot="1" x14ac:dyDescent="0.25">
      <c r="A34" s="197" t="s">
        <v>80</v>
      </c>
      <c r="B34" s="5"/>
      <c r="C34" s="5" t="s">
        <v>30</v>
      </c>
      <c r="D34" s="5" t="s">
        <v>36</v>
      </c>
      <c r="E34" s="5" t="s">
        <v>124</v>
      </c>
      <c r="F34" s="5"/>
      <c r="G34" s="562">
        <f t="shared" ref="G34:M35" si="0">G35</f>
        <v>717.6</v>
      </c>
      <c r="H34" s="562"/>
      <c r="I34" s="287">
        <f t="shared" si="0"/>
        <v>0</v>
      </c>
      <c r="J34" s="682"/>
      <c r="K34" s="682"/>
      <c r="L34" s="682"/>
      <c r="M34" s="11">
        <f t="shared" si="0"/>
        <v>0</v>
      </c>
      <c r="N34" s="705"/>
    </row>
    <row r="35" spans="1:14" s="8" customFormat="1" ht="13.5" hidden="1" thickBot="1" x14ac:dyDescent="0.25">
      <c r="A35" s="10" t="s">
        <v>123</v>
      </c>
      <c r="B35" s="5"/>
      <c r="C35" s="5" t="s">
        <v>30</v>
      </c>
      <c r="D35" s="5" t="s">
        <v>36</v>
      </c>
      <c r="E35" s="5" t="s">
        <v>124</v>
      </c>
      <c r="F35" s="5" t="s">
        <v>78</v>
      </c>
      <c r="G35" s="562">
        <f t="shared" si="0"/>
        <v>717.6</v>
      </c>
      <c r="H35" s="562"/>
      <c r="I35" s="287">
        <f t="shared" si="0"/>
        <v>0</v>
      </c>
      <c r="J35" s="682"/>
      <c r="K35" s="682"/>
      <c r="L35" s="682"/>
      <c r="M35" s="11">
        <f t="shared" si="0"/>
        <v>0</v>
      </c>
      <c r="N35" s="705"/>
    </row>
    <row r="36" spans="1:14" s="8" customFormat="1" ht="13.5" hidden="1" thickBot="1" x14ac:dyDescent="0.25">
      <c r="A36" s="10" t="s">
        <v>79</v>
      </c>
      <c r="B36" s="5"/>
      <c r="C36" s="5" t="s">
        <v>30</v>
      </c>
      <c r="D36" s="5" t="s">
        <v>36</v>
      </c>
      <c r="E36" s="5" t="s">
        <v>124</v>
      </c>
      <c r="F36" s="5" t="s">
        <v>4</v>
      </c>
      <c r="G36" s="562">
        <v>717.6</v>
      </c>
      <c r="H36" s="562"/>
      <c r="I36" s="287">
        <v>0</v>
      </c>
      <c r="J36" s="682"/>
      <c r="K36" s="682"/>
      <c r="L36" s="682"/>
      <c r="M36" s="11">
        <v>0</v>
      </c>
      <c r="N36" s="705"/>
    </row>
    <row r="37" spans="1:14" s="8" customFormat="1" ht="39" hidden="1" thickBot="1" x14ac:dyDescent="0.25">
      <c r="A37" s="197" t="s">
        <v>122</v>
      </c>
      <c r="B37" s="5"/>
      <c r="C37" s="5" t="s">
        <v>30</v>
      </c>
      <c r="D37" s="5" t="s">
        <v>36</v>
      </c>
      <c r="E37" s="5" t="s">
        <v>18</v>
      </c>
      <c r="F37" s="5"/>
      <c r="G37" s="562">
        <f t="shared" ref="G37:M38" si="1">G38</f>
        <v>147.52000000000001</v>
      </c>
      <c r="H37" s="562"/>
      <c r="I37" s="287">
        <f t="shared" si="1"/>
        <v>0</v>
      </c>
      <c r="J37" s="682"/>
      <c r="K37" s="682"/>
      <c r="L37" s="682"/>
      <c r="M37" s="11">
        <f t="shared" si="1"/>
        <v>0</v>
      </c>
      <c r="N37" s="705"/>
    </row>
    <row r="38" spans="1:14" s="8" customFormat="1" ht="13.5" hidden="1" thickBot="1" x14ac:dyDescent="0.25">
      <c r="A38" s="10" t="s">
        <v>123</v>
      </c>
      <c r="B38" s="5"/>
      <c r="C38" s="5" t="s">
        <v>30</v>
      </c>
      <c r="D38" s="5" t="s">
        <v>36</v>
      </c>
      <c r="E38" s="5" t="s">
        <v>18</v>
      </c>
      <c r="F38" s="5" t="s">
        <v>78</v>
      </c>
      <c r="G38" s="562">
        <f t="shared" si="1"/>
        <v>147.52000000000001</v>
      </c>
      <c r="H38" s="562"/>
      <c r="I38" s="287">
        <f t="shared" si="1"/>
        <v>0</v>
      </c>
      <c r="J38" s="682"/>
      <c r="K38" s="682"/>
      <c r="L38" s="682"/>
      <c r="M38" s="11">
        <f t="shared" si="1"/>
        <v>0</v>
      </c>
      <c r="N38" s="705"/>
    </row>
    <row r="39" spans="1:14" s="8" customFormat="1" ht="13.5" hidden="1" thickBot="1" x14ac:dyDescent="0.25">
      <c r="A39" s="10" t="s">
        <v>79</v>
      </c>
      <c r="B39" s="5"/>
      <c r="C39" s="5" t="s">
        <v>30</v>
      </c>
      <c r="D39" s="5" t="s">
        <v>36</v>
      </c>
      <c r="E39" s="5" t="s">
        <v>18</v>
      </c>
      <c r="F39" s="5" t="s">
        <v>4</v>
      </c>
      <c r="G39" s="562">
        <v>147.52000000000001</v>
      </c>
      <c r="H39" s="562"/>
      <c r="I39" s="287">
        <v>0</v>
      </c>
      <c r="J39" s="682"/>
      <c r="K39" s="682"/>
      <c r="L39" s="682"/>
      <c r="M39" s="11">
        <v>0</v>
      </c>
      <c r="N39" s="705"/>
    </row>
    <row r="40" spans="1:14" s="237" customFormat="1" ht="51.75" hidden="1" thickBot="1" x14ac:dyDescent="0.25">
      <c r="A40" s="89" t="s">
        <v>432</v>
      </c>
      <c r="B40" s="112"/>
      <c r="C40" s="112" t="s">
        <v>30</v>
      </c>
      <c r="D40" s="112" t="s">
        <v>36</v>
      </c>
      <c r="E40" s="112" t="s">
        <v>82</v>
      </c>
      <c r="F40" s="194"/>
      <c r="G40" s="561">
        <f>G41</f>
        <v>2771.5478699999999</v>
      </c>
      <c r="H40" s="561"/>
      <c r="I40" s="333">
        <f>I41</f>
        <v>2771.5478699999999</v>
      </c>
      <c r="J40" s="681"/>
      <c r="K40" s="681"/>
      <c r="L40" s="681"/>
      <c r="M40" s="253">
        <f>M41</f>
        <v>2771.5478699999999</v>
      </c>
      <c r="N40" s="704"/>
    </row>
    <row r="41" spans="1:14" s="237" customFormat="1" ht="13.5" hidden="1" thickBot="1" x14ac:dyDescent="0.25">
      <c r="A41" s="9" t="s">
        <v>13</v>
      </c>
      <c r="B41" s="5"/>
      <c r="C41" s="5" t="s">
        <v>30</v>
      </c>
      <c r="D41" s="5" t="s">
        <v>36</v>
      </c>
      <c r="E41" s="5" t="s">
        <v>83</v>
      </c>
      <c r="F41" s="254"/>
      <c r="G41" s="562">
        <f>SUM(G42)</f>
        <v>2771.5478699999999</v>
      </c>
      <c r="H41" s="562"/>
      <c r="I41" s="287">
        <f>SUM(I42)</f>
        <v>2771.5478699999999</v>
      </c>
      <c r="J41" s="682"/>
      <c r="K41" s="682"/>
      <c r="L41" s="682"/>
      <c r="M41" s="11">
        <f>SUM(M42)</f>
        <v>2771.5478699999999</v>
      </c>
      <c r="N41" s="705"/>
    </row>
    <row r="42" spans="1:14" s="237" customFormat="1" ht="39" hidden="1" thickBot="1" x14ac:dyDescent="0.25">
      <c r="A42" s="9" t="s">
        <v>84</v>
      </c>
      <c r="B42" s="5"/>
      <c r="C42" s="5" t="s">
        <v>30</v>
      </c>
      <c r="D42" s="5" t="s">
        <v>36</v>
      </c>
      <c r="E42" s="5" t="s">
        <v>85</v>
      </c>
      <c r="F42" s="254"/>
      <c r="G42" s="562">
        <f>SUM(G44)</f>
        <v>2771.5478699999999</v>
      </c>
      <c r="H42" s="562"/>
      <c r="I42" s="287">
        <f>SUM(I44)</f>
        <v>2771.5478699999999</v>
      </c>
      <c r="J42" s="682"/>
      <c r="K42" s="682"/>
      <c r="L42" s="682"/>
      <c r="M42" s="11">
        <f>SUM(M44)</f>
        <v>2771.5478699999999</v>
      </c>
      <c r="N42" s="705"/>
    </row>
    <row r="43" spans="1:14" s="8" customFormat="1" ht="51.75" hidden="1" thickBot="1" x14ac:dyDescent="0.25">
      <c r="A43" s="10" t="s">
        <v>409</v>
      </c>
      <c r="B43" s="5"/>
      <c r="C43" s="5" t="s">
        <v>30</v>
      </c>
      <c r="D43" s="5" t="s">
        <v>36</v>
      </c>
      <c r="E43" s="5" t="s">
        <v>85</v>
      </c>
      <c r="F43" s="5" t="s">
        <v>72</v>
      </c>
      <c r="G43" s="562">
        <f>G44</f>
        <v>2771.5478699999999</v>
      </c>
      <c r="H43" s="562"/>
      <c r="I43" s="287">
        <f>I44</f>
        <v>2771.5478699999999</v>
      </c>
      <c r="J43" s="682"/>
      <c r="K43" s="682"/>
      <c r="L43" s="682"/>
      <c r="M43" s="11">
        <f>M44</f>
        <v>2771.5478699999999</v>
      </c>
      <c r="N43" s="705"/>
    </row>
    <row r="44" spans="1:14" s="8" customFormat="1" ht="26.25" hidden="1" thickBot="1" x14ac:dyDescent="0.25">
      <c r="A44" s="255" t="s">
        <v>73</v>
      </c>
      <c r="B44" s="130"/>
      <c r="C44" s="130" t="s">
        <v>30</v>
      </c>
      <c r="D44" s="130" t="s">
        <v>36</v>
      </c>
      <c r="E44" s="130" t="s">
        <v>85</v>
      </c>
      <c r="F44" s="130" t="s">
        <v>74</v>
      </c>
      <c r="G44" s="563">
        <f>2063.187+623.08247+85.2784</f>
        <v>2771.5478699999999</v>
      </c>
      <c r="H44" s="563"/>
      <c r="I44" s="538">
        <f>G44</f>
        <v>2771.5478699999999</v>
      </c>
      <c r="J44" s="683"/>
      <c r="K44" s="683"/>
      <c r="L44" s="683"/>
      <c r="M44" s="171">
        <f>I44</f>
        <v>2771.5478699999999</v>
      </c>
      <c r="N44" s="705"/>
    </row>
    <row r="45" spans="1:14" s="8" customFormat="1" ht="41.25" hidden="1" thickBot="1" x14ac:dyDescent="0.25">
      <c r="A45" s="244" t="s">
        <v>6</v>
      </c>
      <c r="B45" s="245"/>
      <c r="C45" s="245" t="s">
        <v>30</v>
      </c>
      <c r="D45" s="245" t="s">
        <v>81</v>
      </c>
      <c r="E45" s="245"/>
      <c r="F45" s="245"/>
      <c r="G45" s="559">
        <f>G46</f>
        <v>1332.337</v>
      </c>
      <c r="H45" s="559"/>
      <c r="I45" s="536">
        <f>I46</f>
        <v>0</v>
      </c>
      <c r="J45" s="679"/>
      <c r="K45" s="679"/>
      <c r="L45" s="679"/>
      <c r="M45" s="247">
        <f>M46</f>
        <v>0</v>
      </c>
      <c r="N45" s="702"/>
    </row>
    <row r="46" spans="1:14" s="8" customFormat="1" ht="39" hidden="1" thickBot="1" x14ac:dyDescent="0.25">
      <c r="A46" s="249" t="s">
        <v>125</v>
      </c>
      <c r="B46" s="250"/>
      <c r="C46" s="250" t="s">
        <v>30</v>
      </c>
      <c r="D46" s="250" t="s">
        <v>81</v>
      </c>
      <c r="E46" s="250" t="s">
        <v>11</v>
      </c>
      <c r="F46" s="250"/>
      <c r="G46" s="560">
        <f>G49</f>
        <v>1332.337</v>
      </c>
      <c r="H46" s="560"/>
      <c r="I46" s="537">
        <f>I49</f>
        <v>0</v>
      </c>
      <c r="J46" s="680"/>
      <c r="K46" s="680"/>
      <c r="L46" s="680"/>
      <c r="M46" s="251">
        <f>M49</f>
        <v>0</v>
      </c>
      <c r="N46" s="703"/>
    </row>
    <row r="47" spans="1:14" s="8" customFormat="1" ht="39" hidden="1" thickBot="1" x14ac:dyDescent="0.25">
      <c r="A47" s="89" t="s">
        <v>385</v>
      </c>
      <c r="B47" s="194"/>
      <c r="C47" s="112" t="s">
        <v>30</v>
      </c>
      <c r="D47" s="112" t="s">
        <v>81</v>
      </c>
      <c r="E47" s="112" t="s">
        <v>12</v>
      </c>
      <c r="F47" s="194"/>
      <c r="G47" s="561">
        <f t="shared" ref="G47:M48" si="2">SUM(G48)</f>
        <v>1332.337</v>
      </c>
      <c r="H47" s="561"/>
      <c r="I47" s="333">
        <f t="shared" si="2"/>
        <v>0</v>
      </c>
      <c r="J47" s="681"/>
      <c r="K47" s="681"/>
      <c r="L47" s="681"/>
      <c r="M47" s="253">
        <f t="shared" si="2"/>
        <v>0</v>
      </c>
      <c r="N47" s="704"/>
    </row>
    <row r="48" spans="1:14" s="8" customFormat="1" ht="13.5" hidden="1" thickBot="1" x14ac:dyDescent="0.25">
      <c r="A48" s="9" t="s">
        <v>13</v>
      </c>
      <c r="B48" s="254"/>
      <c r="C48" s="5" t="s">
        <v>30</v>
      </c>
      <c r="D48" s="5" t="s">
        <v>81</v>
      </c>
      <c r="E48" s="5" t="s">
        <v>14</v>
      </c>
      <c r="F48" s="254"/>
      <c r="G48" s="562">
        <f t="shared" si="2"/>
        <v>1332.337</v>
      </c>
      <c r="H48" s="562"/>
      <c r="I48" s="287">
        <f t="shared" si="2"/>
        <v>0</v>
      </c>
      <c r="J48" s="682"/>
      <c r="K48" s="682"/>
      <c r="L48" s="682"/>
      <c r="M48" s="11">
        <f t="shared" si="2"/>
        <v>0</v>
      </c>
      <c r="N48" s="705"/>
    </row>
    <row r="49" spans="1:14" s="8" customFormat="1" ht="39" hidden="1" thickBot="1" x14ac:dyDescent="0.25">
      <c r="A49" s="197" t="s">
        <v>7</v>
      </c>
      <c r="B49" s="470"/>
      <c r="C49" s="5" t="s">
        <v>30</v>
      </c>
      <c r="D49" s="5" t="s">
        <v>81</v>
      </c>
      <c r="E49" s="5" t="s">
        <v>16</v>
      </c>
      <c r="F49" s="5"/>
      <c r="G49" s="562">
        <f>G51</f>
        <v>1332.337</v>
      </c>
      <c r="H49" s="562"/>
      <c r="I49" s="287">
        <f>I51</f>
        <v>0</v>
      </c>
      <c r="J49" s="682"/>
      <c r="K49" s="682"/>
      <c r="L49" s="682"/>
      <c r="M49" s="11">
        <f>M51</f>
        <v>0</v>
      </c>
      <c r="N49" s="705"/>
    </row>
    <row r="50" spans="1:14" s="8" customFormat="1" ht="13.5" hidden="1" thickBot="1" x14ac:dyDescent="0.25">
      <c r="A50" s="10" t="s">
        <v>123</v>
      </c>
      <c r="B50" s="5"/>
      <c r="C50" s="5" t="s">
        <v>30</v>
      </c>
      <c r="D50" s="5" t="s">
        <v>81</v>
      </c>
      <c r="E50" s="5" t="s">
        <v>16</v>
      </c>
      <c r="F50" s="5" t="s">
        <v>78</v>
      </c>
      <c r="G50" s="562">
        <f>G51</f>
        <v>1332.337</v>
      </c>
      <c r="H50" s="562"/>
      <c r="I50" s="287">
        <f>I51</f>
        <v>0</v>
      </c>
      <c r="J50" s="682"/>
      <c r="K50" s="682"/>
      <c r="L50" s="682"/>
      <c r="M50" s="11">
        <f>M51</f>
        <v>0</v>
      </c>
      <c r="N50" s="705"/>
    </row>
    <row r="51" spans="1:14" s="8" customFormat="1" ht="13.5" hidden="1" thickBot="1" x14ac:dyDescent="0.25">
      <c r="A51" s="10" t="s">
        <v>79</v>
      </c>
      <c r="B51" s="5"/>
      <c r="C51" s="5" t="s">
        <v>30</v>
      </c>
      <c r="D51" s="5" t="s">
        <v>81</v>
      </c>
      <c r="E51" s="5" t="s">
        <v>16</v>
      </c>
      <c r="F51" s="5" t="s">
        <v>4</v>
      </c>
      <c r="G51" s="562">
        <v>1332.337</v>
      </c>
      <c r="H51" s="562"/>
      <c r="I51" s="287">
        <v>0</v>
      </c>
      <c r="J51" s="682"/>
      <c r="K51" s="682"/>
      <c r="L51" s="682"/>
      <c r="M51" s="11">
        <v>0</v>
      </c>
      <c r="N51" s="705"/>
    </row>
    <row r="52" spans="1:14" s="248" customFormat="1" ht="14.25" hidden="1" thickBot="1" x14ac:dyDescent="0.3">
      <c r="A52" s="244" t="s">
        <v>100</v>
      </c>
      <c r="B52" s="245"/>
      <c r="C52" s="245" t="s">
        <v>30</v>
      </c>
      <c r="D52" s="245" t="s">
        <v>29</v>
      </c>
      <c r="E52" s="245"/>
      <c r="F52" s="245"/>
      <c r="G52" s="559">
        <f>G53</f>
        <v>1000</v>
      </c>
      <c r="H52" s="559"/>
      <c r="I52" s="536">
        <v>1000</v>
      </c>
      <c r="J52" s="679"/>
      <c r="K52" s="679"/>
      <c r="L52" s="679"/>
      <c r="M52" s="247">
        <f>M53</f>
        <v>1000</v>
      </c>
      <c r="N52" s="702"/>
    </row>
    <row r="53" spans="1:14" s="248" customFormat="1" ht="39" hidden="1" thickBot="1" x14ac:dyDescent="0.3">
      <c r="A53" s="471" t="s">
        <v>401</v>
      </c>
      <c r="B53" s="250"/>
      <c r="C53" s="250" t="s">
        <v>30</v>
      </c>
      <c r="D53" s="250" t="s">
        <v>29</v>
      </c>
      <c r="E53" s="250" t="s">
        <v>94</v>
      </c>
      <c r="F53" s="250"/>
      <c r="G53" s="560">
        <f>G54</f>
        <v>1000</v>
      </c>
      <c r="H53" s="560"/>
      <c r="I53" s="537">
        <f>I54</f>
        <v>1000</v>
      </c>
      <c r="J53" s="680"/>
      <c r="K53" s="680"/>
      <c r="L53" s="680"/>
      <c r="M53" s="251">
        <f>M54</f>
        <v>1000</v>
      </c>
      <c r="N53" s="703"/>
    </row>
    <row r="54" spans="1:14" s="248" customFormat="1" ht="14.25" hidden="1" thickBot="1" x14ac:dyDescent="0.3">
      <c r="A54" s="89" t="s">
        <v>13</v>
      </c>
      <c r="B54" s="194"/>
      <c r="C54" s="112" t="s">
        <v>30</v>
      </c>
      <c r="D54" s="112" t="s">
        <v>29</v>
      </c>
      <c r="E54" s="112" t="s">
        <v>95</v>
      </c>
      <c r="F54" s="194"/>
      <c r="G54" s="561">
        <f t="shared" ref="G54:M55" si="3">SUM(G55)</f>
        <v>1000</v>
      </c>
      <c r="H54" s="561"/>
      <c r="I54" s="333">
        <f t="shared" si="3"/>
        <v>1000</v>
      </c>
      <c r="J54" s="681"/>
      <c r="K54" s="681"/>
      <c r="L54" s="681"/>
      <c r="M54" s="253">
        <f t="shared" si="3"/>
        <v>1000</v>
      </c>
      <c r="N54" s="704"/>
    </row>
    <row r="55" spans="1:14" s="248" customFormat="1" ht="14.25" hidden="1" thickBot="1" x14ac:dyDescent="0.3">
      <c r="A55" s="9" t="s">
        <v>13</v>
      </c>
      <c r="B55" s="254"/>
      <c r="C55" s="5" t="s">
        <v>30</v>
      </c>
      <c r="D55" s="5" t="s">
        <v>29</v>
      </c>
      <c r="E55" s="5" t="s">
        <v>96</v>
      </c>
      <c r="F55" s="254"/>
      <c r="G55" s="562">
        <f t="shared" si="3"/>
        <v>1000</v>
      </c>
      <c r="H55" s="562"/>
      <c r="I55" s="287">
        <f t="shared" si="3"/>
        <v>1000</v>
      </c>
      <c r="J55" s="682"/>
      <c r="K55" s="682"/>
      <c r="L55" s="682"/>
      <c r="M55" s="11">
        <f t="shared" si="3"/>
        <v>1000</v>
      </c>
      <c r="N55" s="705"/>
    </row>
    <row r="56" spans="1:14" s="248" customFormat="1" ht="14.25" hidden="1" thickBot="1" x14ac:dyDescent="0.3">
      <c r="A56" s="9" t="s">
        <v>424</v>
      </c>
      <c r="B56" s="5"/>
      <c r="C56" s="5" t="s">
        <v>30</v>
      </c>
      <c r="D56" s="5" t="s">
        <v>29</v>
      </c>
      <c r="E56" s="5" t="s">
        <v>97</v>
      </c>
      <c r="F56" s="254"/>
      <c r="G56" s="562">
        <f>G58</f>
        <v>1000</v>
      </c>
      <c r="H56" s="562"/>
      <c r="I56" s="287">
        <f>I58</f>
        <v>1000</v>
      </c>
      <c r="J56" s="682"/>
      <c r="K56" s="682"/>
      <c r="L56" s="682"/>
      <c r="M56" s="11">
        <f>M58</f>
        <v>1000</v>
      </c>
      <c r="N56" s="705"/>
    </row>
    <row r="57" spans="1:14" s="248" customFormat="1" ht="14.25" hidden="1" thickBot="1" x14ac:dyDescent="0.3">
      <c r="A57" s="10" t="s">
        <v>33</v>
      </c>
      <c r="B57" s="5"/>
      <c r="C57" s="5" t="s">
        <v>30</v>
      </c>
      <c r="D57" s="5" t="s">
        <v>29</v>
      </c>
      <c r="E57" s="5" t="s">
        <v>97</v>
      </c>
      <c r="F57" s="5" t="s">
        <v>75</v>
      </c>
      <c r="G57" s="562">
        <v>1000</v>
      </c>
      <c r="H57" s="562"/>
      <c r="I57" s="287">
        <v>1000</v>
      </c>
      <c r="J57" s="682"/>
      <c r="K57" s="682"/>
      <c r="L57" s="682"/>
      <c r="M57" s="11">
        <v>1000</v>
      </c>
      <c r="N57" s="705"/>
    </row>
    <row r="58" spans="1:14" s="248" customFormat="1" ht="14.25" hidden="1" thickBot="1" x14ac:dyDescent="0.3">
      <c r="A58" s="255" t="s">
        <v>98</v>
      </c>
      <c r="B58" s="130"/>
      <c r="C58" s="130" t="s">
        <v>30</v>
      </c>
      <c r="D58" s="130" t="s">
        <v>29</v>
      </c>
      <c r="E58" s="130" t="s">
        <v>97</v>
      </c>
      <c r="F58" s="130" t="s">
        <v>99</v>
      </c>
      <c r="G58" s="563">
        <v>1000</v>
      </c>
      <c r="H58" s="563"/>
      <c r="I58" s="538">
        <v>1000</v>
      </c>
      <c r="J58" s="683"/>
      <c r="K58" s="683"/>
      <c r="L58" s="683"/>
      <c r="M58" s="171">
        <v>1000</v>
      </c>
      <c r="N58" s="705"/>
    </row>
    <row r="59" spans="1:14" s="248" customFormat="1" ht="14.25" hidden="1" thickBot="1" x14ac:dyDescent="0.3">
      <c r="A59" s="244" t="s">
        <v>92</v>
      </c>
      <c r="B59" s="245"/>
      <c r="C59" s="245" t="s">
        <v>30</v>
      </c>
      <c r="D59" s="245" t="s">
        <v>93</v>
      </c>
      <c r="E59" s="245"/>
      <c r="F59" s="245"/>
      <c r="G59" s="559">
        <f t="shared" ref="G59:M60" si="4">G60</f>
        <v>6236.2764999999999</v>
      </c>
      <c r="H59" s="559"/>
      <c r="I59" s="536">
        <f t="shared" si="4"/>
        <v>5383.8494999999994</v>
      </c>
      <c r="J59" s="679"/>
      <c r="K59" s="679"/>
      <c r="L59" s="679"/>
      <c r="M59" s="247">
        <f t="shared" si="4"/>
        <v>5832.3705</v>
      </c>
      <c r="N59" s="702"/>
    </row>
    <row r="60" spans="1:14" s="248" customFormat="1" ht="26.25" hidden="1" thickBot="1" x14ac:dyDescent="0.3">
      <c r="A60" s="249" t="s">
        <v>86</v>
      </c>
      <c r="B60" s="250"/>
      <c r="C60" s="250" t="s">
        <v>30</v>
      </c>
      <c r="D60" s="250" t="s">
        <v>93</v>
      </c>
      <c r="E60" s="250" t="s">
        <v>87</v>
      </c>
      <c r="F60" s="250"/>
      <c r="G60" s="560">
        <f t="shared" si="4"/>
        <v>6236.2764999999999</v>
      </c>
      <c r="H60" s="560"/>
      <c r="I60" s="537">
        <f t="shared" si="4"/>
        <v>5383.8494999999994</v>
      </c>
      <c r="J60" s="680"/>
      <c r="K60" s="680"/>
      <c r="L60" s="680"/>
      <c r="M60" s="251">
        <f t="shared" si="4"/>
        <v>5832.3705</v>
      </c>
      <c r="N60" s="703"/>
    </row>
    <row r="61" spans="1:14" s="248" customFormat="1" ht="14.25" hidden="1" thickBot="1" x14ac:dyDescent="0.3">
      <c r="A61" s="89" t="s">
        <v>13</v>
      </c>
      <c r="B61" s="112"/>
      <c r="C61" s="112" t="s">
        <v>30</v>
      </c>
      <c r="D61" s="112" t="s">
        <v>93</v>
      </c>
      <c r="E61" s="112" t="s">
        <v>88</v>
      </c>
      <c r="F61" s="112"/>
      <c r="G61" s="561">
        <f>SUM(G62)</f>
        <v>6236.2764999999999</v>
      </c>
      <c r="H61" s="561"/>
      <c r="I61" s="333">
        <f>SUM(I62)</f>
        <v>5383.8494999999994</v>
      </c>
      <c r="J61" s="681"/>
      <c r="K61" s="681"/>
      <c r="L61" s="681"/>
      <c r="M61" s="253">
        <f>SUM(M62)</f>
        <v>5832.3705</v>
      </c>
      <c r="N61" s="704"/>
    </row>
    <row r="62" spans="1:14" s="248" customFormat="1" ht="14.25" hidden="1" thickBot="1" x14ac:dyDescent="0.3">
      <c r="A62" s="9" t="s">
        <v>13</v>
      </c>
      <c r="B62" s="5"/>
      <c r="C62" s="5" t="s">
        <v>30</v>
      </c>
      <c r="D62" s="5" t="s">
        <v>93</v>
      </c>
      <c r="E62" s="5" t="s">
        <v>89</v>
      </c>
      <c r="F62" s="5"/>
      <c r="G62" s="562">
        <f>SUM(G63)+G72</f>
        <v>6236.2764999999999</v>
      </c>
      <c r="H62" s="562"/>
      <c r="I62" s="287">
        <f>SUM(I63)+I72</f>
        <v>5383.8494999999994</v>
      </c>
      <c r="J62" s="682"/>
      <c r="K62" s="682"/>
      <c r="L62" s="682"/>
      <c r="M62" s="11">
        <f>SUM(M63)+M72</f>
        <v>5832.3705</v>
      </c>
      <c r="N62" s="705"/>
    </row>
    <row r="63" spans="1:14" s="248" customFormat="1" ht="14.25" hidden="1" thickBot="1" x14ac:dyDescent="0.3">
      <c r="A63" s="217" t="s">
        <v>90</v>
      </c>
      <c r="B63" s="5"/>
      <c r="C63" s="5" t="s">
        <v>30</v>
      </c>
      <c r="D63" s="5" t="s">
        <v>93</v>
      </c>
      <c r="E63" s="5" t="s">
        <v>91</v>
      </c>
      <c r="F63" s="5"/>
      <c r="G63" s="562">
        <f>G64+G69+G66</f>
        <v>5736.2764999999999</v>
      </c>
      <c r="H63" s="562"/>
      <c r="I63" s="287">
        <f>I64+I69+I66</f>
        <v>4883.8494999999994</v>
      </c>
      <c r="J63" s="682"/>
      <c r="K63" s="682"/>
      <c r="L63" s="682"/>
      <c r="M63" s="11">
        <f>M64+M69+M66</f>
        <v>5332.3705</v>
      </c>
      <c r="N63" s="705"/>
    </row>
    <row r="64" spans="1:14" s="248" customFormat="1" ht="26.25" hidden="1" thickBot="1" x14ac:dyDescent="0.3">
      <c r="A64" s="10" t="s">
        <v>31</v>
      </c>
      <c r="B64" s="5"/>
      <c r="C64" s="5" t="s">
        <v>30</v>
      </c>
      <c r="D64" s="5" t="s">
        <v>93</v>
      </c>
      <c r="E64" s="5" t="s">
        <v>91</v>
      </c>
      <c r="F64" s="5" t="s">
        <v>66</v>
      </c>
      <c r="G64" s="562">
        <f>G65</f>
        <v>3293.8</v>
      </c>
      <c r="H64" s="562"/>
      <c r="I64" s="287">
        <f>I65</f>
        <v>4437.8999999999996</v>
      </c>
      <c r="J64" s="682"/>
      <c r="K64" s="682"/>
      <c r="L64" s="682"/>
      <c r="M64" s="11">
        <f>M65</f>
        <v>4851.6899999999996</v>
      </c>
      <c r="N64" s="705"/>
    </row>
    <row r="65" spans="1:14" s="248" customFormat="1" ht="26.25" hidden="1" thickBot="1" x14ac:dyDescent="0.3">
      <c r="A65" s="10" t="s">
        <v>67</v>
      </c>
      <c r="B65" s="5"/>
      <c r="C65" s="5" t="s">
        <v>30</v>
      </c>
      <c r="D65" s="5" t="s">
        <v>93</v>
      </c>
      <c r="E65" s="5" t="s">
        <v>91</v>
      </c>
      <c r="F65" s="5" t="s">
        <v>68</v>
      </c>
      <c r="G65" s="562">
        <f>400+1220+15+300+1358.8</f>
        <v>3293.8</v>
      </c>
      <c r="H65" s="562"/>
      <c r="I65" s="287">
        <v>4437.8999999999996</v>
      </c>
      <c r="J65" s="682"/>
      <c r="K65" s="682"/>
      <c r="L65" s="682"/>
      <c r="M65" s="11">
        <v>4851.6899999999996</v>
      </c>
      <c r="N65" s="705"/>
    </row>
    <row r="66" spans="1:14" s="248" customFormat="1" ht="14.25" hidden="1" thickBot="1" x14ac:dyDescent="0.3">
      <c r="A66" s="10" t="s">
        <v>39</v>
      </c>
      <c r="B66" s="5"/>
      <c r="C66" s="5" t="s">
        <v>30</v>
      </c>
      <c r="D66" s="5" t="s">
        <v>93</v>
      </c>
      <c r="E66" s="5" t="s">
        <v>91</v>
      </c>
      <c r="F66" s="5" t="s">
        <v>115</v>
      </c>
      <c r="G66" s="562">
        <f>G67+G68</f>
        <v>342.47649999999999</v>
      </c>
      <c r="H66" s="562"/>
      <c r="I66" s="287">
        <f>I67+I68</f>
        <v>369.56950000000001</v>
      </c>
      <c r="J66" s="682"/>
      <c r="K66" s="682"/>
      <c r="L66" s="682"/>
      <c r="M66" s="11">
        <f>M67+M68</f>
        <v>396.66250000000002</v>
      </c>
      <c r="N66" s="705"/>
    </row>
    <row r="67" spans="1:14" s="248" customFormat="1" ht="26.25" hidden="1" thickBot="1" x14ac:dyDescent="0.3">
      <c r="A67" s="10" t="s">
        <v>135</v>
      </c>
      <c r="B67" s="5"/>
      <c r="C67" s="5" t="s">
        <v>30</v>
      </c>
      <c r="D67" s="5" t="s">
        <v>93</v>
      </c>
      <c r="E67" s="5" t="s">
        <v>91</v>
      </c>
      <c r="F67" s="5" t="s">
        <v>116</v>
      </c>
      <c r="G67" s="562">
        <v>284.47649999999999</v>
      </c>
      <c r="H67" s="562"/>
      <c r="I67" s="287">
        <v>311.56950000000001</v>
      </c>
      <c r="J67" s="682"/>
      <c r="K67" s="682"/>
      <c r="L67" s="682"/>
      <c r="M67" s="11">
        <v>338.66250000000002</v>
      </c>
      <c r="N67" s="705"/>
    </row>
    <row r="68" spans="1:14" s="248" customFormat="1" ht="14.25" hidden="1" thickBot="1" x14ac:dyDescent="0.3">
      <c r="A68" s="10" t="s">
        <v>469</v>
      </c>
      <c r="B68" s="5"/>
      <c r="C68" s="5" t="s">
        <v>30</v>
      </c>
      <c r="D68" s="5" t="s">
        <v>93</v>
      </c>
      <c r="E68" s="5" t="s">
        <v>91</v>
      </c>
      <c r="F68" s="5" t="s">
        <v>468</v>
      </c>
      <c r="G68" s="562">
        <f>56.5+1.5</f>
        <v>58</v>
      </c>
      <c r="H68" s="562"/>
      <c r="I68" s="287">
        <f>G68</f>
        <v>58</v>
      </c>
      <c r="J68" s="682"/>
      <c r="K68" s="682"/>
      <c r="L68" s="682"/>
      <c r="M68" s="11">
        <f>I68</f>
        <v>58</v>
      </c>
      <c r="N68" s="705"/>
    </row>
    <row r="69" spans="1:14" s="248" customFormat="1" ht="14.25" hidden="1" thickBot="1" x14ac:dyDescent="0.3">
      <c r="A69" s="10" t="s">
        <v>33</v>
      </c>
      <c r="B69" s="5"/>
      <c r="C69" s="5" t="s">
        <v>30</v>
      </c>
      <c r="D69" s="5" t="s">
        <v>93</v>
      </c>
      <c r="E69" s="5" t="s">
        <v>91</v>
      </c>
      <c r="F69" s="5" t="s">
        <v>75</v>
      </c>
      <c r="G69" s="562">
        <f>G70+G71</f>
        <v>2100</v>
      </c>
      <c r="H69" s="562"/>
      <c r="I69" s="287">
        <f>I70+I71</f>
        <v>76.38</v>
      </c>
      <c r="J69" s="682"/>
      <c r="K69" s="682"/>
      <c r="L69" s="682"/>
      <c r="M69" s="11">
        <f>M70+M71</f>
        <v>84.018000000000001</v>
      </c>
      <c r="N69" s="705"/>
    </row>
    <row r="70" spans="1:14" s="248" customFormat="1" ht="14.25" hidden="1" thickBot="1" x14ac:dyDescent="0.3">
      <c r="A70" s="10" t="s">
        <v>471</v>
      </c>
      <c r="B70" s="5"/>
      <c r="C70" s="5" t="s">
        <v>30</v>
      </c>
      <c r="D70" s="5" t="s">
        <v>93</v>
      </c>
      <c r="E70" s="5" t="s">
        <v>91</v>
      </c>
      <c r="F70" s="5" t="s">
        <v>151</v>
      </c>
      <c r="G70" s="562">
        <v>2000</v>
      </c>
      <c r="H70" s="562"/>
      <c r="I70" s="287">
        <v>0</v>
      </c>
      <c r="J70" s="682"/>
      <c r="K70" s="682"/>
      <c r="L70" s="682"/>
      <c r="M70" s="11">
        <v>0</v>
      </c>
      <c r="N70" s="705"/>
    </row>
    <row r="71" spans="1:14" s="248" customFormat="1" ht="14.25" hidden="1" thickBot="1" x14ac:dyDescent="0.3">
      <c r="A71" s="10" t="s">
        <v>76</v>
      </c>
      <c r="B71" s="5"/>
      <c r="C71" s="5" t="s">
        <v>30</v>
      </c>
      <c r="D71" s="5" t="s">
        <v>93</v>
      </c>
      <c r="E71" s="5" t="s">
        <v>91</v>
      </c>
      <c r="F71" s="5" t="s">
        <v>77</v>
      </c>
      <c r="G71" s="562">
        <v>100</v>
      </c>
      <c r="H71" s="562"/>
      <c r="I71" s="287">
        <v>76.38</v>
      </c>
      <c r="J71" s="682"/>
      <c r="K71" s="682"/>
      <c r="L71" s="682"/>
      <c r="M71" s="11">
        <v>84.018000000000001</v>
      </c>
      <c r="N71" s="705"/>
    </row>
    <row r="72" spans="1:14" s="248" customFormat="1" ht="26.25" hidden="1" thickBot="1" x14ac:dyDescent="0.3">
      <c r="A72" s="217" t="s">
        <v>325</v>
      </c>
      <c r="B72" s="5"/>
      <c r="C72" s="5" t="s">
        <v>30</v>
      </c>
      <c r="D72" s="5" t="s">
        <v>93</v>
      </c>
      <c r="E72" s="7" t="s">
        <v>326</v>
      </c>
      <c r="F72" s="5"/>
      <c r="G72" s="562">
        <f t="shared" ref="G72:M73" si="5">G73</f>
        <v>500</v>
      </c>
      <c r="H72" s="562"/>
      <c r="I72" s="287">
        <f t="shared" si="5"/>
        <v>500</v>
      </c>
      <c r="J72" s="682"/>
      <c r="K72" s="682"/>
      <c r="L72" s="682"/>
      <c r="M72" s="11">
        <f t="shared" si="5"/>
        <v>500</v>
      </c>
      <c r="N72" s="705"/>
    </row>
    <row r="73" spans="1:14" s="248" customFormat="1" ht="26.25" hidden="1" thickBot="1" x14ac:dyDescent="0.3">
      <c r="A73" s="338" t="s">
        <v>31</v>
      </c>
      <c r="B73" s="5"/>
      <c r="C73" s="5" t="s">
        <v>30</v>
      </c>
      <c r="D73" s="5" t="s">
        <v>93</v>
      </c>
      <c r="E73" s="7" t="s">
        <v>326</v>
      </c>
      <c r="F73" s="7" t="s">
        <v>66</v>
      </c>
      <c r="G73" s="562">
        <f t="shared" si="5"/>
        <v>500</v>
      </c>
      <c r="H73" s="562"/>
      <c r="I73" s="287">
        <f t="shared" si="5"/>
        <v>500</v>
      </c>
      <c r="J73" s="682"/>
      <c r="K73" s="682"/>
      <c r="L73" s="682"/>
      <c r="M73" s="11">
        <f t="shared" si="5"/>
        <v>500</v>
      </c>
      <c r="N73" s="705"/>
    </row>
    <row r="74" spans="1:14" s="248" customFormat="1" ht="26.25" hidden="1" thickBot="1" x14ac:dyDescent="0.3">
      <c r="A74" s="10" t="s">
        <v>67</v>
      </c>
      <c r="B74" s="5"/>
      <c r="C74" s="5" t="s">
        <v>30</v>
      </c>
      <c r="D74" s="5" t="s">
        <v>93</v>
      </c>
      <c r="E74" s="7" t="s">
        <v>326</v>
      </c>
      <c r="F74" s="7" t="s">
        <v>68</v>
      </c>
      <c r="G74" s="562">
        <v>500</v>
      </c>
      <c r="H74" s="562"/>
      <c r="I74" s="287">
        <v>500</v>
      </c>
      <c r="J74" s="682"/>
      <c r="K74" s="682"/>
      <c r="L74" s="682"/>
      <c r="M74" s="11">
        <v>500</v>
      </c>
      <c r="N74" s="705"/>
    </row>
    <row r="75" spans="1:14" s="248" customFormat="1" ht="14.25" thickBot="1" x14ac:dyDescent="0.3">
      <c r="A75" s="260" t="s">
        <v>126</v>
      </c>
      <c r="B75" s="261"/>
      <c r="C75" s="262" t="s">
        <v>58</v>
      </c>
      <c r="D75" s="263"/>
      <c r="E75" s="261"/>
      <c r="F75" s="261"/>
      <c r="G75" s="564">
        <f t="shared" ref="G75:M83" si="6">G76</f>
        <v>2263.8000000000002</v>
      </c>
      <c r="H75" s="715">
        <f>G75/G20</f>
        <v>5.3298267245432563E-3</v>
      </c>
      <c r="I75" s="539">
        <f t="shared" si="6"/>
        <v>2517</v>
      </c>
      <c r="J75" s="717">
        <f>I75/I20</f>
        <v>8.3652780560614006E-3</v>
      </c>
      <c r="K75" s="264">
        <f>M75</f>
        <v>3185.6</v>
      </c>
      <c r="L75" s="717">
        <f>K75/K20</f>
        <v>1.0082138015178554E-2</v>
      </c>
      <c r="M75" s="264">
        <f t="shared" si="6"/>
        <v>3185.6</v>
      </c>
      <c r="N75" s="701"/>
    </row>
    <row r="76" spans="1:14" s="248" customFormat="1" ht="14.25" hidden="1" thickBot="1" x14ac:dyDescent="0.3">
      <c r="A76" s="265" t="s">
        <v>102</v>
      </c>
      <c r="B76" s="266"/>
      <c r="C76" s="267" t="s">
        <v>58</v>
      </c>
      <c r="D76" s="267" t="s">
        <v>40</v>
      </c>
      <c r="E76" s="268"/>
      <c r="F76" s="268"/>
      <c r="G76" s="565">
        <f t="shared" si="6"/>
        <v>2263.8000000000002</v>
      </c>
      <c r="H76" s="565"/>
      <c r="I76" s="540">
        <f t="shared" si="6"/>
        <v>2517</v>
      </c>
      <c r="J76" s="684"/>
      <c r="K76" s="684"/>
      <c r="L76" s="684"/>
      <c r="M76" s="269">
        <f t="shared" si="6"/>
        <v>3185.6</v>
      </c>
      <c r="N76" s="702"/>
    </row>
    <row r="77" spans="1:14" s="248" customFormat="1" ht="39" hidden="1" thickBot="1" x14ac:dyDescent="0.3">
      <c r="A77" s="270" t="s">
        <v>402</v>
      </c>
      <c r="B77" s="98"/>
      <c r="C77" s="271" t="s">
        <v>58</v>
      </c>
      <c r="D77" s="271" t="s">
        <v>40</v>
      </c>
      <c r="E77" s="272" t="s">
        <v>94</v>
      </c>
      <c r="F77" s="272"/>
      <c r="G77" s="566">
        <f t="shared" si="6"/>
        <v>2263.8000000000002</v>
      </c>
      <c r="H77" s="566"/>
      <c r="I77" s="541">
        <f t="shared" si="6"/>
        <v>2517</v>
      </c>
      <c r="J77" s="685"/>
      <c r="K77" s="685"/>
      <c r="L77" s="685"/>
      <c r="M77" s="273">
        <f t="shared" si="6"/>
        <v>3185.6</v>
      </c>
      <c r="N77" s="703"/>
    </row>
    <row r="78" spans="1:14" s="248" customFormat="1" ht="14.25" hidden="1" thickBot="1" x14ac:dyDescent="0.3">
      <c r="A78" s="89" t="s">
        <v>13</v>
      </c>
      <c r="B78" s="112"/>
      <c r="C78" s="274" t="s">
        <v>58</v>
      </c>
      <c r="D78" s="274" t="s">
        <v>40</v>
      </c>
      <c r="E78" s="112" t="s">
        <v>95</v>
      </c>
      <c r="F78" s="194"/>
      <c r="G78" s="561">
        <f t="shared" si="6"/>
        <v>2263.8000000000002</v>
      </c>
      <c r="H78" s="561"/>
      <c r="I78" s="333">
        <f t="shared" si="6"/>
        <v>2517</v>
      </c>
      <c r="J78" s="681"/>
      <c r="K78" s="681"/>
      <c r="L78" s="681"/>
      <c r="M78" s="253">
        <f t="shared" si="6"/>
        <v>3185.6</v>
      </c>
      <c r="N78" s="704"/>
    </row>
    <row r="79" spans="1:14" s="248" customFormat="1" ht="14.25" hidden="1" thickBot="1" x14ac:dyDescent="0.3">
      <c r="A79" s="9" t="s">
        <v>13</v>
      </c>
      <c r="B79" s="5"/>
      <c r="C79" s="275" t="s">
        <v>58</v>
      </c>
      <c r="D79" s="275" t="s">
        <v>40</v>
      </c>
      <c r="E79" s="5" t="s">
        <v>96</v>
      </c>
      <c r="F79" s="254"/>
      <c r="G79" s="562">
        <f t="shared" si="6"/>
        <v>2263.8000000000002</v>
      </c>
      <c r="H79" s="562"/>
      <c r="I79" s="287">
        <f t="shared" si="6"/>
        <v>2517</v>
      </c>
      <c r="J79" s="682"/>
      <c r="K79" s="682"/>
      <c r="L79" s="682"/>
      <c r="M79" s="11">
        <f t="shared" si="6"/>
        <v>3185.6</v>
      </c>
      <c r="N79" s="705"/>
    </row>
    <row r="80" spans="1:14" s="248" customFormat="1" ht="26.25" hidden="1" thickBot="1" x14ac:dyDescent="0.3">
      <c r="A80" s="9" t="s">
        <v>415</v>
      </c>
      <c r="B80" s="5"/>
      <c r="C80" s="5" t="s">
        <v>58</v>
      </c>
      <c r="D80" s="5" t="s">
        <v>40</v>
      </c>
      <c r="E80" s="5" t="s">
        <v>101</v>
      </c>
      <c r="F80" s="5"/>
      <c r="G80" s="562">
        <f>G81+G83</f>
        <v>2263.8000000000002</v>
      </c>
      <c r="H80" s="562"/>
      <c r="I80" s="287">
        <f>I81+I83</f>
        <v>2517</v>
      </c>
      <c r="J80" s="682"/>
      <c r="K80" s="682"/>
      <c r="L80" s="682"/>
      <c r="M80" s="11">
        <f>M81+M83</f>
        <v>3185.6</v>
      </c>
      <c r="N80" s="705"/>
    </row>
    <row r="81" spans="1:14" s="248" customFormat="1" ht="51.75" hidden="1" thickBot="1" x14ac:dyDescent="0.3">
      <c r="A81" s="10" t="s">
        <v>409</v>
      </c>
      <c r="B81" s="5"/>
      <c r="C81" s="5" t="s">
        <v>58</v>
      </c>
      <c r="D81" s="5" t="s">
        <v>40</v>
      </c>
      <c r="E81" s="5" t="s">
        <v>101</v>
      </c>
      <c r="F81" s="5" t="s">
        <v>72</v>
      </c>
      <c r="G81" s="562">
        <f t="shared" si="6"/>
        <v>2188.5940000000001</v>
      </c>
      <c r="H81" s="562"/>
      <c r="I81" s="287">
        <f t="shared" si="6"/>
        <v>2432.5300000000002</v>
      </c>
      <c r="J81" s="682"/>
      <c r="K81" s="682"/>
      <c r="L81" s="682"/>
      <c r="M81" s="11">
        <f t="shared" si="6"/>
        <v>3092.6</v>
      </c>
      <c r="N81" s="705"/>
    </row>
    <row r="82" spans="1:14" s="248" customFormat="1" ht="26.25" hidden="1" thickBot="1" x14ac:dyDescent="0.3">
      <c r="A82" s="10" t="s">
        <v>73</v>
      </c>
      <c r="B82" s="5"/>
      <c r="C82" s="5" t="s">
        <v>58</v>
      </c>
      <c r="D82" s="5" t="s">
        <v>40</v>
      </c>
      <c r="E82" s="5" t="s">
        <v>101</v>
      </c>
      <c r="F82" s="5" t="s">
        <v>74</v>
      </c>
      <c r="G82" s="562">
        <f>2263.8-75.206</f>
        <v>2188.5940000000001</v>
      </c>
      <c r="H82" s="562"/>
      <c r="I82" s="287">
        <f>2517-84.47</f>
        <v>2432.5300000000002</v>
      </c>
      <c r="J82" s="682"/>
      <c r="K82" s="682"/>
      <c r="L82" s="682"/>
      <c r="M82" s="11">
        <f>3185.6-93</f>
        <v>3092.6</v>
      </c>
      <c r="N82" s="705"/>
    </row>
    <row r="83" spans="1:14" s="248" customFormat="1" ht="26.25" hidden="1" thickBot="1" x14ac:dyDescent="0.3">
      <c r="A83" s="338" t="s">
        <v>31</v>
      </c>
      <c r="B83" s="5"/>
      <c r="C83" s="5" t="s">
        <v>58</v>
      </c>
      <c r="D83" s="5" t="s">
        <v>40</v>
      </c>
      <c r="E83" s="5" t="s">
        <v>101</v>
      </c>
      <c r="F83" s="5" t="s">
        <v>66</v>
      </c>
      <c r="G83" s="562">
        <f t="shared" si="6"/>
        <v>75.206000000000003</v>
      </c>
      <c r="H83" s="562"/>
      <c r="I83" s="287">
        <f t="shared" si="6"/>
        <v>84.47</v>
      </c>
      <c r="J83" s="682"/>
      <c r="K83" s="682"/>
      <c r="L83" s="682"/>
      <c r="M83" s="11">
        <f t="shared" si="6"/>
        <v>93</v>
      </c>
      <c r="N83" s="705"/>
    </row>
    <row r="84" spans="1:14" s="248" customFormat="1" ht="26.25" hidden="1" thickBot="1" x14ac:dyDescent="0.3">
      <c r="A84" s="255" t="s">
        <v>67</v>
      </c>
      <c r="B84" s="130"/>
      <c r="C84" s="130" t="s">
        <v>58</v>
      </c>
      <c r="D84" s="130" t="s">
        <v>40</v>
      </c>
      <c r="E84" s="130" t="s">
        <v>101</v>
      </c>
      <c r="F84" s="130" t="s">
        <v>68</v>
      </c>
      <c r="G84" s="563">
        <f>75.206</f>
        <v>75.206000000000003</v>
      </c>
      <c r="H84" s="563"/>
      <c r="I84" s="538">
        <v>84.47</v>
      </c>
      <c r="J84" s="683"/>
      <c r="K84" s="683"/>
      <c r="L84" s="683"/>
      <c r="M84" s="171">
        <v>93</v>
      </c>
      <c r="N84" s="705"/>
    </row>
    <row r="85" spans="1:14" s="276" customFormat="1" ht="27.75" thickBot="1" x14ac:dyDescent="0.25">
      <c r="A85" s="244" t="s">
        <v>127</v>
      </c>
      <c r="B85" s="245"/>
      <c r="C85" s="245" t="s">
        <v>40</v>
      </c>
      <c r="D85" s="245"/>
      <c r="E85" s="245"/>
      <c r="F85" s="245"/>
      <c r="G85" s="559">
        <f>G86+G103</f>
        <v>15881.849</v>
      </c>
      <c r="H85" s="716">
        <f>G85/G20</f>
        <v>3.7391776320947333E-2</v>
      </c>
      <c r="I85" s="536">
        <f>I86+I103</f>
        <v>4260.26</v>
      </c>
      <c r="J85" s="718">
        <f>I85/I20</f>
        <v>1.4159022443828426E-2</v>
      </c>
      <c r="K85" s="264">
        <f>M85</f>
        <v>4260.26</v>
      </c>
      <c r="L85" s="718">
        <f>K85/K20</f>
        <v>1.3483340438392952E-2</v>
      </c>
      <c r="M85" s="247">
        <f>M86+M103</f>
        <v>4260.26</v>
      </c>
      <c r="N85" s="702"/>
    </row>
    <row r="86" spans="1:14" s="248" customFormat="1" ht="27.75" hidden="1" thickBot="1" x14ac:dyDescent="0.3">
      <c r="A86" s="277" t="s">
        <v>295</v>
      </c>
      <c r="B86" s="268"/>
      <c r="C86" s="268" t="s">
        <v>40</v>
      </c>
      <c r="D86" s="268" t="s">
        <v>118</v>
      </c>
      <c r="E86" s="268"/>
      <c r="F86" s="268"/>
      <c r="G86" s="565">
        <f>G87+G97</f>
        <v>5775</v>
      </c>
      <c r="H86" s="565"/>
      <c r="I86" s="540">
        <f>I87+I97</f>
        <v>1251</v>
      </c>
      <c r="J86" s="684"/>
      <c r="K86" s="684"/>
      <c r="L86" s="684"/>
      <c r="M86" s="269">
        <f>M87+M97</f>
        <v>1251</v>
      </c>
      <c r="N86" s="702"/>
    </row>
    <row r="87" spans="1:14" s="237" customFormat="1" ht="39" hidden="1" thickBot="1" x14ac:dyDescent="0.25">
      <c r="A87" s="278" t="s">
        <v>392</v>
      </c>
      <c r="B87" s="272"/>
      <c r="C87" s="272" t="s">
        <v>40</v>
      </c>
      <c r="D87" s="272" t="s">
        <v>118</v>
      </c>
      <c r="E87" s="272" t="s">
        <v>48</v>
      </c>
      <c r="F87" s="272"/>
      <c r="G87" s="566">
        <f>G88</f>
        <v>5770</v>
      </c>
      <c r="H87" s="566"/>
      <c r="I87" s="541">
        <f>I88</f>
        <v>1246</v>
      </c>
      <c r="J87" s="685"/>
      <c r="K87" s="685"/>
      <c r="L87" s="685"/>
      <c r="M87" s="273">
        <f>M88</f>
        <v>1246</v>
      </c>
      <c r="N87" s="703"/>
    </row>
    <row r="88" spans="1:14" s="8" customFormat="1" ht="13.5" hidden="1" thickBot="1" x14ac:dyDescent="0.25">
      <c r="A88" s="89" t="s">
        <v>232</v>
      </c>
      <c r="B88" s="112"/>
      <c r="C88" s="112" t="s">
        <v>40</v>
      </c>
      <c r="D88" s="112" t="s">
        <v>118</v>
      </c>
      <c r="E88" s="112" t="s">
        <v>245</v>
      </c>
      <c r="F88" s="112"/>
      <c r="G88" s="561">
        <f>SUM(G89+G93)</f>
        <v>5770</v>
      </c>
      <c r="H88" s="561"/>
      <c r="I88" s="333">
        <f>SUM(I89+I93)</f>
        <v>1246</v>
      </c>
      <c r="J88" s="681"/>
      <c r="K88" s="681"/>
      <c r="L88" s="681"/>
      <c r="M88" s="253">
        <f>SUM(M89+M93)</f>
        <v>1246</v>
      </c>
      <c r="N88" s="704"/>
    </row>
    <row r="89" spans="1:14" s="8" customFormat="1" ht="39" hidden="1" thickBot="1" x14ac:dyDescent="0.25">
      <c r="A89" s="9" t="s">
        <v>246</v>
      </c>
      <c r="B89" s="112"/>
      <c r="C89" s="5" t="s">
        <v>40</v>
      </c>
      <c r="D89" s="5" t="s">
        <v>118</v>
      </c>
      <c r="E89" s="5" t="s">
        <v>247</v>
      </c>
      <c r="F89" s="112"/>
      <c r="G89" s="562">
        <f>SUM(G90)</f>
        <v>3200</v>
      </c>
      <c r="H89" s="562"/>
      <c r="I89" s="287">
        <f>SUM(I90)</f>
        <v>786</v>
      </c>
      <c r="J89" s="682"/>
      <c r="K89" s="682"/>
      <c r="L89" s="682"/>
      <c r="M89" s="11">
        <f>SUM(M90)</f>
        <v>786</v>
      </c>
      <c r="N89" s="705"/>
    </row>
    <row r="90" spans="1:14" s="8" customFormat="1" ht="39" hidden="1" thickBot="1" x14ac:dyDescent="0.25">
      <c r="A90" s="9" t="s">
        <v>414</v>
      </c>
      <c r="B90" s="5"/>
      <c r="C90" s="5" t="s">
        <v>40</v>
      </c>
      <c r="D90" s="5" t="s">
        <v>118</v>
      </c>
      <c r="E90" s="5" t="s">
        <v>248</v>
      </c>
      <c r="F90" s="5"/>
      <c r="G90" s="562">
        <f>G92</f>
        <v>3200</v>
      </c>
      <c r="H90" s="562"/>
      <c r="I90" s="287">
        <f>I92</f>
        <v>786</v>
      </c>
      <c r="J90" s="682"/>
      <c r="K90" s="682"/>
      <c r="L90" s="682"/>
      <c r="M90" s="11">
        <f>M92</f>
        <v>786</v>
      </c>
      <c r="N90" s="705"/>
    </row>
    <row r="91" spans="1:14" s="8" customFormat="1" ht="26.25" hidden="1" thickBot="1" x14ac:dyDescent="0.25">
      <c r="A91" s="10" t="s">
        <v>31</v>
      </c>
      <c r="B91" s="5"/>
      <c r="C91" s="5" t="s">
        <v>40</v>
      </c>
      <c r="D91" s="5" t="s">
        <v>118</v>
      </c>
      <c r="E91" s="5" t="s">
        <v>248</v>
      </c>
      <c r="F91" s="5" t="s">
        <v>66</v>
      </c>
      <c r="G91" s="562">
        <f>G92</f>
        <v>3200</v>
      </c>
      <c r="H91" s="562"/>
      <c r="I91" s="287">
        <f>I92</f>
        <v>786</v>
      </c>
      <c r="J91" s="682"/>
      <c r="K91" s="682"/>
      <c r="L91" s="682"/>
      <c r="M91" s="11">
        <f>M92</f>
        <v>786</v>
      </c>
      <c r="N91" s="705"/>
    </row>
    <row r="92" spans="1:14" s="8" customFormat="1" ht="26.25" hidden="1" thickBot="1" x14ac:dyDescent="0.25">
      <c r="A92" s="10" t="s">
        <v>67</v>
      </c>
      <c r="B92" s="5"/>
      <c r="C92" s="5" t="s">
        <v>40</v>
      </c>
      <c r="D92" s="5" t="s">
        <v>118</v>
      </c>
      <c r="E92" s="5" t="s">
        <v>248</v>
      </c>
      <c r="F92" s="5" t="s">
        <v>68</v>
      </c>
      <c r="G92" s="562">
        <v>3200</v>
      </c>
      <c r="H92" s="562"/>
      <c r="I92" s="287">
        <v>786</v>
      </c>
      <c r="J92" s="682"/>
      <c r="K92" s="682"/>
      <c r="L92" s="682"/>
      <c r="M92" s="11">
        <v>786</v>
      </c>
      <c r="N92" s="705"/>
    </row>
    <row r="93" spans="1:14" s="8" customFormat="1" ht="26.25" hidden="1" thickBot="1" x14ac:dyDescent="0.25">
      <c r="A93" s="9" t="s">
        <v>418</v>
      </c>
      <c r="B93" s="5"/>
      <c r="C93" s="5" t="s">
        <v>40</v>
      </c>
      <c r="D93" s="5" t="s">
        <v>118</v>
      </c>
      <c r="E93" s="5" t="s">
        <v>249</v>
      </c>
      <c r="F93" s="5"/>
      <c r="G93" s="562">
        <f>SUM(G94)</f>
        <v>2570</v>
      </c>
      <c r="H93" s="562"/>
      <c r="I93" s="287">
        <f>SUM(I94)</f>
        <v>460</v>
      </c>
      <c r="J93" s="682"/>
      <c r="K93" s="682"/>
      <c r="L93" s="682"/>
      <c r="M93" s="11">
        <f>SUM(M94)</f>
        <v>460</v>
      </c>
      <c r="N93" s="705"/>
    </row>
    <row r="94" spans="1:14" s="8" customFormat="1" ht="13.5" hidden="1" thickBot="1" x14ac:dyDescent="0.25">
      <c r="A94" s="9" t="s">
        <v>50</v>
      </c>
      <c r="B94" s="5"/>
      <c r="C94" s="5" t="s">
        <v>40</v>
      </c>
      <c r="D94" s="5" t="s">
        <v>118</v>
      </c>
      <c r="E94" s="5" t="s">
        <v>250</v>
      </c>
      <c r="F94" s="5"/>
      <c r="G94" s="562">
        <f>G96</f>
        <v>2570</v>
      </c>
      <c r="H94" s="562"/>
      <c r="I94" s="287">
        <f>I96</f>
        <v>460</v>
      </c>
      <c r="J94" s="682"/>
      <c r="K94" s="682"/>
      <c r="L94" s="682"/>
      <c r="M94" s="11">
        <f>M96</f>
        <v>460</v>
      </c>
      <c r="N94" s="705"/>
    </row>
    <row r="95" spans="1:14" s="8" customFormat="1" ht="26.25" hidden="1" thickBot="1" x14ac:dyDescent="0.25">
      <c r="A95" s="10" t="s">
        <v>31</v>
      </c>
      <c r="B95" s="5"/>
      <c r="C95" s="5" t="s">
        <v>40</v>
      </c>
      <c r="D95" s="5" t="s">
        <v>118</v>
      </c>
      <c r="E95" s="5" t="s">
        <v>250</v>
      </c>
      <c r="F95" s="5" t="s">
        <v>66</v>
      </c>
      <c r="G95" s="562">
        <f>G96</f>
        <v>2570</v>
      </c>
      <c r="H95" s="562"/>
      <c r="I95" s="287">
        <f>I96</f>
        <v>460</v>
      </c>
      <c r="J95" s="682"/>
      <c r="K95" s="682"/>
      <c r="L95" s="682"/>
      <c r="M95" s="11">
        <f>M96</f>
        <v>460</v>
      </c>
      <c r="N95" s="705"/>
    </row>
    <row r="96" spans="1:14" s="8" customFormat="1" ht="26.25" hidden="1" thickBot="1" x14ac:dyDescent="0.25">
      <c r="A96" s="10" t="s">
        <v>67</v>
      </c>
      <c r="B96" s="5"/>
      <c r="C96" s="5" t="s">
        <v>40</v>
      </c>
      <c r="D96" s="5" t="s">
        <v>118</v>
      </c>
      <c r="E96" s="5" t="s">
        <v>250</v>
      </c>
      <c r="F96" s="5" t="s">
        <v>68</v>
      </c>
      <c r="G96" s="562">
        <v>2570</v>
      </c>
      <c r="H96" s="562"/>
      <c r="I96" s="287">
        <v>460</v>
      </c>
      <c r="J96" s="682"/>
      <c r="K96" s="682"/>
      <c r="L96" s="682"/>
      <c r="M96" s="11">
        <v>460</v>
      </c>
      <c r="N96" s="705"/>
    </row>
    <row r="97" spans="1:14" s="8" customFormat="1" ht="39" hidden="1" thickBot="1" x14ac:dyDescent="0.25">
      <c r="A97" s="259" t="s">
        <v>374</v>
      </c>
      <c r="B97" s="254"/>
      <c r="C97" s="254" t="s">
        <v>40</v>
      </c>
      <c r="D97" s="254" t="s">
        <v>118</v>
      </c>
      <c r="E97" s="254" t="s">
        <v>290</v>
      </c>
      <c r="F97" s="254"/>
      <c r="G97" s="567">
        <f>G98</f>
        <v>5</v>
      </c>
      <c r="H97" s="567"/>
      <c r="I97" s="296">
        <f>I98</f>
        <v>5</v>
      </c>
      <c r="J97" s="686"/>
      <c r="K97" s="686"/>
      <c r="L97" s="686"/>
      <c r="M97" s="258">
        <f>M98</f>
        <v>5</v>
      </c>
      <c r="N97" s="703"/>
    </row>
    <row r="98" spans="1:14" s="276" customFormat="1" ht="14.25" hidden="1" thickBot="1" x14ac:dyDescent="0.25">
      <c r="A98" s="279" t="s">
        <v>433</v>
      </c>
      <c r="B98" s="194"/>
      <c r="C98" s="112" t="s">
        <v>40</v>
      </c>
      <c r="D98" s="112" t="s">
        <v>118</v>
      </c>
      <c r="E98" s="112" t="s">
        <v>291</v>
      </c>
      <c r="F98" s="194"/>
      <c r="G98" s="561">
        <f>SUM(G99)</f>
        <v>5</v>
      </c>
      <c r="H98" s="561"/>
      <c r="I98" s="333">
        <f>SUM(I99)</f>
        <v>5</v>
      </c>
      <c r="J98" s="681"/>
      <c r="K98" s="681"/>
      <c r="L98" s="681"/>
      <c r="M98" s="253">
        <f>SUM(M99)</f>
        <v>5</v>
      </c>
      <c r="N98" s="704"/>
    </row>
    <row r="99" spans="1:14" s="8" customFormat="1" ht="51.75" hidden="1" thickBot="1" x14ac:dyDescent="0.25">
      <c r="A99" s="175" t="s">
        <v>419</v>
      </c>
      <c r="B99" s="194"/>
      <c r="C99" s="5" t="s">
        <v>40</v>
      </c>
      <c r="D99" s="5" t="s">
        <v>118</v>
      </c>
      <c r="E99" s="5" t="s">
        <v>292</v>
      </c>
      <c r="F99" s="254"/>
      <c r="G99" s="562">
        <f>G101</f>
        <v>5</v>
      </c>
      <c r="H99" s="562"/>
      <c r="I99" s="287">
        <f>I101</f>
        <v>5</v>
      </c>
      <c r="J99" s="682"/>
      <c r="K99" s="682"/>
      <c r="L99" s="682"/>
      <c r="M99" s="11">
        <f>M101</f>
        <v>5</v>
      </c>
      <c r="N99" s="705"/>
    </row>
    <row r="100" spans="1:14" s="8" customFormat="1" ht="39" hidden="1" thickBot="1" x14ac:dyDescent="0.25">
      <c r="A100" s="175" t="s">
        <v>294</v>
      </c>
      <c r="B100" s="194"/>
      <c r="C100" s="5" t="s">
        <v>40</v>
      </c>
      <c r="D100" s="5" t="s">
        <v>118</v>
      </c>
      <c r="E100" s="5" t="s">
        <v>293</v>
      </c>
      <c r="F100" s="254"/>
      <c r="G100" s="562">
        <f t="shared" ref="G100:M101" si="7">G101</f>
        <v>5</v>
      </c>
      <c r="H100" s="562"/>
      <c r="I100" s="287">
        <f t="shared" si="7"/>
        <v>5</v>
      </c>
      <c r="J100" s="682"/>
      <c r="K100" s="682"/>
      <c r="L100" s="682"/>
      <c r="M100" s="11">
        <f t="shared" si="7"/>
        <v>5</v>
      </c>
      <c r="N100" s="705"/>
    </row>
    <row r="101" spans="1:14" s="8" customFormat="1" ht="26.25" hidden="1" thickBot="1" x14ac:dyDescent="0.25">
      <c r="A101" s="338" t="s">
        <v>31</v>
      </c>
      <c r="B101" s="194"/>
      <c r="C101" s="5" t="s">
        <v>40</v>
      </c>
      <c r="D101" s="5" t="s">
        <v>118</v>
      </c>
      <c r="E101" s="5" t="s">
        <v>293</v>
      </c>
      <c r="F101" s="5" t="s">
        <v>66</v>
      </c>
      <c r="G101" s="562">
        <f t="shared" si="7"/>
        <v>5</v>
      </c>
      <c r="H101" s="562"/>
      <c r="I101" s="287">
        <f t="shared" si="7"/>
        <v>5</v>
      </c>
      <c r="J101" s="682"/>
      <c r="K101" s="682"/>
      <c r="L101" s="682"/>
      <c r="M101" s="11">
        <f t="shared" si="7"/>
        <v>5</v>
      </c>
      <c r="N101" s="705"/>
    </row>
    <row r="102" spans="1:14" s="8" customFormat="1" ht="26.25" hidden="1" thickBot="1" x14ac:dyDescent="0.25">
      <c r="A102" s="10" t="s">
        <v>67</v>
      </c>
      <c r="B102" s="5"/>
      <c r="C102" s="5" t="s">
        <v>40</v>
      </c>
      <c r="D102" s="5" t="s">
        <v>118</v>
      </c>
      <c r="E102" s="5" t="s">
        <v>293</v>
      </c>
      <c r="F102" s="56">
        <v>240</v>
      </c>
      <c r="G102" s="562">
        <v>5</v>
      </c>
      <c r="H102" s="562"/>
      <c r="I102" s="287">
        <v>5</v>
      </c>
      <c r="J102" s="682"/>
      <c r="K102" s="682"/>
      <c r="L102" s="682"/>
      <c r="M102" s="11">
        <v>5</v>
      </c>
      <c r="N102" s="705"/>
    </row>
    <row r="103" spans="1:14" s="280" customFormat="1" ht="27.75" hidden="1" thickBot="1" x14ac:dyDescent="0.25">
      <c r="A103" s="244" t="s">
        <v>144</v>
      </c>
      <c r="B103" s="245"/>
      <c r="C103" s="245" t="s">
        <v>40</v>
      </c>
      <c r="D103" s="245" t="s">
        <v>145</v>
      </c>
      <c r="E103" s="245"/>
      <c r="F103" s="245"/>
      <c r="G103" s="559">
        <f>G110+G104+G121</f>
        <v>10106.849</v>
      </c>
      <c r="H103" s="559"/>
      <c r="I103" s="536">
        <f>I110+I104+I121</f>
        <v>3009.26</v>
      </c>
      <c r="J103" s="679"/>
      <c r="K103" s="679"/>
      <c r="L103" s="679"/>
      <c r="M103" s="247">
        <f>M110+M104+M121</f>
        <v>3009.26</v>
      </c>
      <c r="N103" s="702"/>
    </row>
    <row r="104" spans="1:14" s="280" customFormat="1" ht="39" hidden="1" thickBot="1" x14ac:dyDescent="0.25">
      <c r="A104" s="217" t="s">
        <v>392</v>
      </c>
      <c r="B104" s="5"/>
      <c r="C104" s="254" t="s">
        <v>40</v>
      </c>
      <c r="D104" s="254" t="s">
        <v>145</v>
      </c>
      <c r="E104" s="254" t="s">
        <v>48</v>
      </c>
      <c r="F104" s="254"/>
      <c r="G104" s="567">
        <f>G106</f>
        <v>6600</v>
      </c>
      <c r="H104" s="567"/>
      <c r="I104" s="296">
        <f>I106</f>
        <v>0</v>
      </c>
      <c r="J104" s="686"/>
      <c r="K104" s="686"/>
      <c r="L104" s="686"/>
      <c r="M104" s="258">
        <f>M106</f>
        <v>0</v>
      </c>
      <c r="N104" s="703"/>
    </row>
    <row r="105" spans="1:14" s="280" customFormat="1" ht="13.5" hidden="1" thickBot="1" x14ac:dyDescent="0.25">
      <c r="A105" s="89" t="s">
        <v>232</v>
      </c>
      <c r="B105" s="112"/>
      <c r="C105" s="112" t="s">
        <v>40</v>
      </c>
      <c r="D105" s="112" t="s">
        <v>145</v>
      </c>
      <c r="E105" s="112" t="s">
        <v>245</v>
      </c>
      <c r="F105" s="112"/>
      <c r="G105" s="561">
        <f>G106</f>
        <v>6600</v>
      </c>
      <c r="H105" s="561"/>
      <c r="I105" s="333">
        <f t="shared" ref="I105:M108" si="8">I106</f>
        <v>0</v>
      </c>
      <c r="J105" s="681"/>
      <c r="K105" s="681"/>
      <c r="L105" s="681"/>
      <c r="M105" s="253">
        <f t="shared" si="8"/>
        <v>0</v>
      </c>
      <c r="N105" s="704"/>
    </row>
    <row r="106" spans="1:14" s="280" customFormat="1" ht="26.25" hidden="1" thickBot="1" x14ac:dyDescent="0.25">
      <c r="A106" s="9" t="s">
        <v>350</v>
      </c>
      <c r="B106" s="5"/>
      <c r="C106" s="5" t="s">
        <v>40</v>
      </c>
      <c r="D106" s="5" t="s">
        <v>145</v>
      </c>
      <c r="E106" s="85" t="s">
        <v>351</v>
      </c>
      <c r="F106" s="5"/>
      <c r="G106" s="562">
        <f>G107</f>
        <v>6600</v>
      </c>
      <c r="H106" s="562"/>
      <c r="I106" s="287">
        <f t="shared" si="8"/>
        <v>0</v>
      </c>
      <c r="J106" s="682"/>
      <c r="K106" s="682"/>
      <c r="L106" s="682"/>
      <c r="M106" s="11">
        <f t="shared" si="8"/>
        <v>0</v>
      </c>
      <c r="N106" s="705"/>
    </row>
    <row r="107" spans="1:14" s="280" customFormat="1" ht="39" hidden="1" thickBot="1" x14ac:dyDescent="0.25">
      <c r="A107" s="9" t="s">
        <v>352</v>
      </c>
      <c r="B107" s="5"/>
      <c r="C107" s="5" t="s">
        <v>40</v>
      </c>
      <c r="D107" s="5" t="s">
        <v>145</v>
      </c>
      <c r="E107" s="85" t="s">
        <v>353</v>
      </c>
      <c r="F107" s="5"/>
      <c r="G107" s="562">
        <f>G108</f>
        <v>6600</v>
      </c>
      <c r="H107" s="562"/>
      <c r="I107" s="287">
        <f t="shared" si="8"/>
        <v>0</v>
      </c>
      <c r="J107" s="682"/>
      <c r="K107" s="682"/>
      <c r="L107" s="682"/>
      <c r="M107" s="11">
        <f t="shared" si="8"/>
        <v>0</v>
      </c>
      <c r="N107" s="705"/>
    </row>
    <row r="108" spans="1:14" s="280" customFormat="1" ht="26.25" hidden="1" thickBot="1" x14ac:dyDescent="0.25">
      <c r="A108" s="10" t="s">
        <v>31</v>
      </c>
      <c r="B108" s="5"/>
      <c r="C108" s="5" t="s">
        <v>40</v>
      </c>
      <c r="D108" s="5" t="s">
        <v>145</v>
      </c>
      <c r="E108" s="85" t="s">
        <v>353</v>
      </c>
      <c r="F108" s="5" t="s">
        <v>66</v>
      </c>
      <c r="G108" s="562">
        <f>G109</f>
        <v>6600</v>
      </c>
      <c r="H108" s="562"/>
      <c r="I108" s="287">
        <f t="shared" si="8"/>
        <v>0</v>
      </c>
      <c r="J108" s="682"/>
      <c r="K108" s="682"/>
      <c r="L108" s="682"/>
      <c r="M108" s="11">
        <f t="shared" si="8"/>
        <v>0</v>
      </c>
      <c r="N108" s="705"/>
    </row>
    <row r="109" spans="1:14" s="280" customFormat="1" ht="26.25" hidden="1" thickBot="1" x14ac:dyDescent="0.25">
      <c r="A109" s="10" t="s">
        <v>67</v>
      </c>
      <c r="B109" s="5"/>
      <c r="C109" s="5" t="s">
        <v>40</v>
      </c>
      <c r="D109" s="5" t="s">
        <v>145</v>
      </c>
      <c r="E109" s="85" t="s">
        <v>353</v>
      </c>
      <c r="F109" s="5" t="s">
        <v>68</v>
      </c>
      <c r="G109" s="562">
        <v>6600</v>
      </c>
      <c r="H109" s="562"/>
      <c r="I109" s="287">
        <v>0</v>
      </c>
      <c r="J109" s="682"/>
      <c r="K109" s="682"/>
      <c r="L109" s="682"/>
      <c r="M109" s="11">
        <v>0</v>
      </c>
      <c r="N109" s="705"/>
    </row>
    <row r="110" spans="1:14" s="280" customFormat="1" ht="39" hidden="1" thickBot="1" x14ac:dyDescent="0.25">
      <c r="A110" s="249" t="s">
        <v>10</v>
      </c>
      <c r="B110" s="250"/>
      <c r="C110" s="250" t="s">
        <v>40</v>
      </c>
      <c r="D110" s="250" t="s">
        <v>145</v>
      </c>
      <c r="E110" s="250" t="s">
        <v>11</v>
      </c>
      <c r="F110" s="250"/>
      <c r="G110" s="560">
        <f>SUM(G112)</f>
        <v>3009.26</v>
      </c>
      <c r="H110" s="560"/>
      <c r="I110" s="537">
        <f>SUM(I112)</f>
        <v>3009.26</v>
      </c>
      <c r="J110" s="680"/>
      <c r="K110" s="680"/>
      <c r="L110" s="680"/>
      <c r="M110" s="251">
        <f>SUM(M112)</f>
        <v>3009.26</v>
      </c>
      <c r="N110" s="703"/>
    </row>
    <row r="111" spans="1:14" s="280" customFormat="1" ht="39" hidden="1" thickBot="1" x14ac:dyDescent="0.25">
      <c r="A111" s="89" t="s">
        <v>403</v>
      </c>
      <c r="B111" s="112"/>
      <c r="C111" s="112" t="s">
        <v>40</v>
      </c>
      <c r="D111" s="112" t="s">
        <v>145</v>
      </c>
      <c r="E111" s="112" t="s">
        <v>12</v>
      </c>
      <c r="F111" s="112"/>
      <c r="G111" s="561">
        <f>SUM(G112)</f>
        <v>3009.26</v>
      </c>
      <c r="H111" s="561"/>
      <c r="I111" s="333">
        <f>SUM(I112)</f>
        <v>3009.26</v>
      </c>
      <c r="J111" s="681"/>
      <c r="K111" s="681"/>
      <c r="L111" s="681"/>
      <c r="M111" s="253">
        <f>SUM(M112)</f>
        <v>3009.26</v>
      </c>
      <c r="N111" s="704"/>
    </row>
    <row r="112" spans="1:14" s="280" customFormat="1" ht="13.5" hidden="1" thickBot="1" x14ac:dyDescent="0.25">
      <c r="A112" s="9" t="s">
        <v>13</v>
      </c>
      <c r="B112" s="112"/>
      <c r="C112" s="5" t="s">
        <v>40</v>
      </c>
      <c r="D112" s="5" t="s">
        <v>145</v>
      </c>
      <c r="E112" s="5" t="s">
        <v>14</v>
      </c>
      <c r="F112" s="112"/>
      <c r="G112" s="562">
        <f>SUM(G113+G118)</f>
        <v>3009.26</v>
      </c>
      <c r="H112" s="562"/>
      <c r="I112" s="287">
        <f>SUM(I113+I118)</f>
        <v>3009.26</v>
      </c>
      <c r="J112" s="682"/>
      <c r="K112" s="682"/>
      <c r="L112" s="682"/>
      <c r="M112" s="11">
        <f>SUM(M113+M118)</f>
        <v>3009.26</v>
      </c>
      <c r="N112" s="705"/>
    </row>
    <row r="113" spans="1:14" s="280" customFormat="1" ht="51.75" hidden="1" thickBot="1" x14ac:dyDescent="0.25">
      <c r="A113" s="9" t="s">
        <v>420</v>
      </c>
      <c r="B113" s="5"/>
      <c r="C113" s="5" t="s">
        <v>40</v>
      </c>
      <c r="D113" s="5" t="s">
        <v>145</v>
      </c>
      <c r="E113" s="5" t="s">
        <v>143</v>
      </c>
      <c r="F113" s="5"/>
      <c r="G113" s="562">
        <f>G114+G116</f>
        <v>2998.7000000000003</v>
      </c>
      <c r="H113" s="562"/>
      <c r="I113" s="287">
        <f>I114+I116</f>
        <v>2998.7000000000003</v>
      </c>
      <c r="J113" s="682"/>
      <c r="K113" s="682"/>
      <c r="L113" s="682"/>
      <c r="M113" s="11">
        <f>M114+M116</f>
        <v>2998.7000000000003</v>
      </c>
      <c r="N113" s="705"/>
    </row>
    <row r="114" spans="1:14" s="280" customFormat="1" ht="51.75" hidden="1" thickBot="1" x14ac:dyDescent="0.25">
      <c r="A114" s="10" t="s">
        <v>409</v>
      </c>
      <c r="B114" s="5"/>
      <c r="C114" s="5" t="s">
        <v>40</v>
      </c>
      <c r="D114" s="5" t="s">
        <v>145</v>
      </c>
      <c r="E114" s="5" t="s">
        <v>143</v>
      </c>
      <c r="F114" s="5" t="s">
        <v>72</v>
      </c>
      <c r="G114" s="562">
        <f>G115</f>
        <v>2918.6680000000001</v>
      </c>
      <c r="H114" s="562"/>
      <c r="I114" s="287">
        <f>I115</f>
        <v>2918.6680000000001</v>
      </c>
      <c r="J114" s="682"/>
      <c r="K114" s="682"/>
      <c r="L114" s="682"/>
      <c r="M114" s="11">
        <f>M115</f>
        <v>2918.6680000000001</v>
      </c>
      <c r="N114" s="705"/>
    </row>
    <row r="115" spans="1:14" s="280" customFormat="1" ht="26.25" hidden="1" thickBot="1" x14ac:dyDescent="0.25">
      <c r="A115" s="10" t="s">
        <v>73</v>
      </c>
      <c r="B115" s="5"/>
      <c r="C115" s="5" t="s">
        <v>40</v>
      </c>
      <c r="D115" s="5" t="s">
        <v>145</v>
      </c>
      <c r="E115" s="5" t="s">
        <v>143</v>
      </c>
      <c r="F115" s="5" t="s">
        <v>74</v>
      </c>
      <c r="G115" s="562">
        <f>2234+674.668+10</f>
        <v>2918.6680000000001</v>
      </c>
      <c r="H115" s="562"/>
      <c r="I115" s="287">
        <v>2918.6680000000001</v>
      </c>
      <c r="J115" s="682"/>
      <c r="K115" s="682"/>
      <c r="L115" s="682"/>
      <c r="M115" s="11">
        <v>2918.6680000000001</v>
      </c>
      <c r="N115" s="705"/>
    </row>
    <row r="116" spans="1:14" s="280" customFormat="1" ht="26.25" hidden="1" thickBot="1" x14ac:dyDescent="0.25">
      <c r="A116" s="10" t="s">
        <v>31</v>
      </c>
      <c r="B116" s="5"/>
      <c r="C116" s="5" t="s">
        <v>40</v>
      </c>
      <c r="D116" s="5" t="s">
        <v>145</v>
      </c>
      <c r="E116" s="5" t="s">
        <v>143</v>
      </c>
      <c r="F116" s="5" t="s">
        <v>66</v>
      </c>
      <c r="G116" s="562">
        <f>G117</f>
        <v>80.031999999999996</v>
      </c>
      <c r="H116" s="562"/>
      <c r="I116" s="287">
        <f>I117</f>
        <v>80.031999999999996</v>
      </c>
      <c r="J116" s="682"/>
      <c r="K116" s="682"/>
      <c r="L116" s="682"/>
      <c r="M116" s="11">
        <f>M117</f>
        <v>80.031999999999996</v>
      </c>
      <c r="N116" s="705"/>
    </row>
    <row r="117" spans="1:14" s="280" customFormat="1" ht="26.25" hidden="1" thickBot="1" x14ac:dyDescent="0.25">
      <c r="A117" s="10" t="s">
        <v>67</v>
      </c>
      <c r="B117" s="5"/>
      <c r="C117" s="5" t="s">
        <v>40</v>
      </c>
      <c r="D117" s="5" t="s">
        <v>145</v>
      </c>
      <c r="E117" s="5" t="s">
        <v>143</v>
      </c>
      <c r="F117" s="5" t="s">
        <v>68</v>
      </c>
      <c r="G117" s="562">
        <f>80.032</f>
        <v>80.031999999999996</v>
      </c>
      <c r="H117" s="562"/>
      <c r="I117" s="287">
        <v>80.031999999999996</v>
      </c>
      <c r="J117" s="682"/>
      <c r="K117" s="682"/>
      <c r="L117" s="682"/>
      <c r="M117" s="11">
        <v>80.031999999999996</v>
      </c>
      <c r="N117" s="705"/>
    </row>
    <row r="118" spans="1:14" s="280" customFormat="1" ht="23.25" hidden="1" customHeight="1" x14ac:dyDescent="0.2">
      <c r="A118" s="9" t="s">
        <v>146</v>
      </c>
      <c r="B118" s="5"/>
      <c r="C118" s="5" t="s">
        <v>40</v>
      </c>
      <c r="D118" s="5" t="s">
        <v>145</v>
      </c>
      <c r="E118" s="5" t="s">
        <v>147</v>
      </c>
      <c r="F118" s="5"/>
      <c r="G118" s="562">
        <f t="shared" ref="G118:M119" si="9">G119</f>
        <v>10.56</v>
      </c>
      <c r="H118" s="562"/>
      <c r="I118" s="287">
        <f t="shared" si="9"/>
        <v>10.56</v>
      </c>
      <c r="J118" s="682"/>
      <c r="K118" s="682"/>
      <c r="L118" s="682"/>
      <c r="M118" s="11">
        <f t="shared" si="9"/>
        <v>10.56</v>
      </c>
      <c r="N118" s="705"/>
    </row>
    <row r="119" spans="1:14" s="280" customFormat="1" ht="26.25" hidden="1" thickBot="1" x14ac:dyDescent="0.25">
      <c r="A119" s="10" t="s">
        <v>31</v>
      </c>
      <c r="B119" s="5"/>
      <c r="C119" s="5" t="s">
        <v>40</v>
      </c>
      <c r="D119" s="5" t="s">
        <v>145</v>
      </c>
      <c r="E119" s="5" t="s">
        <v>147</v>
      </c>
      <c r="F119" s="5" t="s">
        <v>66</v>
      </c>
      <c r="G119" s="562">
        <f t="shared" si="9"/>
        <v>10.56</v>
      </c>
      <c r="H119" s="562"/>
      <c r="I119" s="287">
        <f t="shared" si="9"/>
        <v>10.56</v>
      </c>
      <c r="J119" s="682"/>
      <c r="K119" s="682"/>
      <c r="L119" s="682"/>
      <c r="M119" s="11">
        <f t="shared" si="9"/>
        <v>10.56</v>
      </c>
      <c r="N119" s="705"/>
    </row>
    <row r="120" spans="1:14" s="280" customFormat="1" ht="26.25" hidden="1" thickBot="1" x14ac:dyDescent="0.25">
      <c r="A120" s="10" t="s">
        <v>67</v>
      </c>
      <c r="B120" s="5"/>
      <c r="C120" s="5" t="s">
        <v>40</v>
      </c>
      <c r="D120" s="5" t="s">
        <v>145</v>
      </c>
      <c r="E120" s="5" t="s">
        <v>147</v>
      </c>
      <c r="F120" s="5" t="s">
        <v>68</v>
      </c>
      <c r="G120" s="562">
        <f>пр.2!C71</f>
        <v>10.56</v>
      </c>
      <c r="H120" s="562"/>
      <c r="I120" s="287">
        <f>пр.2!D71</f>
        <v>10.56</v>
      </c>
      <c r="J120" s="287"/>
      <c r="K120" s="287"/>
      <c r="L120" s="287"/>
      <c r="M120" s="6">
        <f>пр.2!E71</f>
        <v>10.56</v>
      </c>
      <c r="N120" s="705"/>
    </row>
    <row r="121" spans="1:14" s="280" customFormat="1" ht="39" hidden="1" thickBot="1" x14ac:dyDescent="0.25">
      <c r="A121" s="217" t="s">
        <v>404</v>
      </c>
      <c r="B121" s="254"/>
      <c r="C121" s="254" t="s">
        <v>40</v>
      </c>
      <c r="D121" s="254" t="s">
        <v>145</v>
      </c>
      <c r="E121" s="254" t="s">
        <v>94</v>
      </c>
      <c r="F121" s="254"/>
      <c r="G121" s="567">
        <f t="shared" ref="G121:M123" si="10">G122</f>
        <v>497.589</v>
      </c>
      <c r="H121" s="567"/>
      <c r="I121" s="296">
        <f t="shared" si="10"/>
        <v>0</v>
      </c>
      <c r="J121" s="686"/>
      <c r="K121" s="686"/>
      <c r="L121" s="686"/>
      <c r="M121" s="258">
        <f t="shared" si="10"/>
        <v>0</v>
      </c>
      <c r="N121" s="703"/>
    </row>
    <row r="122" spans="1:14" s="280" customFormat="1" ht="13.5" hidden="1" thickBot="1" x14ac:dyDescent="0.25">
      <c r="A122" s="284" t="s">
        <v>13</v>
      </c>
      <c r="B122" s="112"/>
      <c r="C122" s="112" t="s">
        <v>40</v>
      </c>
      <c r="D122" s="112" t="s">
        <v>145</v>
      </c>
      <c r="E122" s="112" t="s">
        <v>95</v>
      </c>
      <c r="F122" s="112"/>
      <c r="G122" s="561">
        <f t="shared" si="10"/>
        <v>497.589</v>
      </c>
      <c r="H122" s="561"/>
      <c r="I122" s="333">
        <f t="shared" si="10"/>
        <v>0</v>
      </c>
      <c r="J122" s="681"/>
      <c r="K122" s="681"/>
      <c r="L122" s="681"/>
      <c r="M122" s="253">
        <f t="shared" si="10"/>
        <v>0</v>
      </c>
      <c r="N122" s="704"/>
    </row>
    <row r="123" spans="1:14" s="280" customFormat="1" ht="13.5" hidden="1" thickBot="1" x14ac:dyDescent="0.25">
      <c r="A123" s="472" t="s">
        <v>13</v>
      </c>
      <c r="B123" s="5"/>
      <c r="C123" s="5" t="s">
        <v>40</v>
      </c>
      <c r="D123" s="5" t="s">
        <v>145</v>
      </c>
      <c r="E123" s="5" t="s">
        <v>96</v>
      </c>
      <c r="F123" s="5"/>
      <c r="G123" s="562">
        <f t="shared" si="10"/>
        <v>497.589</v>
      </c>
      <c r="H123" s="562"/>
      <c r="I123" s="287">
        <f t="shared" si="10"/>
        <v>0</v>
      </c>
      <c r="J123" s="682"/>
      <c r="K123" s="682"/>
      <c r="L123" s="682"/>
      <c r="M123" s="11">
        <f t="shared" si="10"/>
        <v>0</v>
      </c>
      <c r="N123" s="705"/>
    </row>
    <row r="124" spans="1:14" s="280" customFormat="1" ht="77.25" hidden="1" thickBot="1" x14ac:dyDescent="0.25">
      <c r="A124" s="197" t="s">
        <v>421</v>
      </c>
      <c r="B124" s="5"/>
      <c r="C124" s="5" t="s">
        <v>40</v>
      </c>
      <c r="D124" s="5" t="s">
        <v>145</v>
      </c>
      <c r="E124" s="5" t="s">
        <v>359</v>
      </c>
      <c r="F124" s="5"/>
      <c r="G124" s="562">
        <f>G126</f>
        <v>497.589</v>
      </c>
      <c r="H124" s="562"/>
      <c r="I124" s="287">
        <f>I126</f>
        <v>0</v>
      </c>
      <c r="J124" s="682"/>
      <c r="K124" s="682"/>
      <c r="L124" s="682"/>
      <c r="M124" s="11">
        <f>M126</f>
        <v>0</v>
      </c>
      <c r="N124" s="705"/>
    </row>
    <row r="125" spans="1:14" s="280" customFormat="1" ht="13.5" hidden="1" thickBot="1" x14ac:dyDescent="0.25">
      <c r="A125" s="10" t="s">
        <v>123</v>
      </c>
      <c r="B125" s="5"/>
      <c r="C125" s="5" t="s">
        <v>40</v>
      </c>
      <c r="D125" s="5" t="s">
        <v>145</v>
      </c>
      <c r="E125" s="5" t="s">
        <v>359</v>
      </c>
      <c r="F125" s="5" t="s">
        <v>78</v>
      </c>
      <c r="G125" s="562">
        <f>G126</f>
        <v>497.589</v>
      </c>
      <c r="H125" s="562"/>
      <c r="I125" s="287">
        <f>I126</f>
        <v>0</v>
      </c>
      <c r="J125" s="682"/>
      <c r="K125" s="682"/>
      <c r="L125" s="682"/>
      <c r="M125" s="11">
        <f>M126</f>
        <v>0</v>
      </c>
      <c r="N125" s="705"/>
    </row>
    <row r="126" spans="1:14" s="280" customFormat="1" ht="13.5" hidden="1" thickBot="1" x14ac:dyDescent="0.25">
      <c r="A126" s="255" t="s">
        <v>79</v>
      </c>
      <c r="B126" s="130"/>
      <c r="C126" s="130" t="s">
        <v>40</v>
      </c>
      <c r="D126" s="130" t="s">
        <v>145</v>
      </c>
      <c r="E126" s="130" t="s">
        <v>359</v>
      </c>
      <c r="F126" s="130" t="s">
        <v>4</v>
      </c>
      <c r="G126" s="563">
        <v>497.589</v>
      </c>
      <c r="H126" s="563"/>
      <c r="I126" s="538">
        <v>0</v>
      </c>
      <c r="J126" s="683"/>
      <c r="K126" s="683"/>
      <c r="L126" s="683"/>
      <c r="M126" s="171">
        <v>0</v>
      </c>
      <c r="N126" s="705"/>
    </row>
    <row r="127" spans="1:14" s="8" customFormat="1" ht="14.25" thickBot="1" x14ac:dyDescent="0.25">
      <c r="A127" s="244" t="s">
        <v>128</v>
      </c>
      <c r="B127" s="245"/>
      <c r="C127" s="245" t="s">
        <v>36</v>
      </c>
      <c r="D127" s="245"/>
      <c r="E127" s="245"/>
      <c r="F127" s="245"/>
      <c r="G127" s="559">
        <f>G129+G154</f>
        <v>70343.63927</v>
      </c>
      <c r="H127" s="716">
        <f>G127/G20</f>
        <v>0.16561507575001166</v>
      </c>
      <c r="I127" s="536">
        <f>I129+I154</f>
        <v>25156.614000000001</v>
      </c>
      <c r="J127" s="718">
        <f>I127/I20</f>
        <v>8.360829203774614E-2</v>
      </c>
      <c r="K127" s="264">
        <f>M127</f>
        <v>25138.805</v>
      </c>
      <c r="L127" s="718">
        <f>K127/K20</f>
        <v>7.9562061007866877E-2</v>
      </c>
      <c r="M127" s="247">
        <f>M129+M154</f>
        <v>25138.805</v>
      </c>
      <c r="N127" s="702"/>
    </row>
    <row r="128" spans="1:14" s="8" customFormat="1" ht="0.75" hidden="1" customHeight="1" thickBot="1" x14ac:dyDescent="0.25">
      <c r="A128" s="213" t="s">
        <v>215</v>
      </c>
      <c r="B128" s="214"/>
      <c r="C128" s="214" t="s">
        <v>36</v>
      </c>
      <c r="D128" s="214" t="s">
        <v>57</v>
      </c>
      <c r="E128" s="214"/>
      <c r="F128" s="214"/>
      <c r="G128" s="568" t="e">
        <f>#REF!</f>
        <v>#REF!</v>
      </c>
      <c r="H128" s="568"/>
      <c r="I128" s="542" t="e">
        <f>#REF!</f>
        <v>#REF!</v>
      </c>
      <c r="J128" s="687"/>
      <c r="K128" s="687"/>
      <c r="L128" s="687"/>
      <c r="M128" s="283" t="e">
        <f>#REF!</f>
        <v>#REF!</v>
      </c>
      <c r="N128" s="702"/>
    </row>
    <row r="129" spans="1:14" s="8" customFormat="1" ht="14.25" hidden="1" thickBot="1" x14ac:dyDescent="0.25">
      <c r="A129" s="244" t="s">
        <v>53</v>
      </c>
      <c r="B129" s="245"/>
      <c r="C129" s="245" t="s">
        <v>36</v>
      </c>
      <c r="D129" s="245" t="s">
        <v>49</v>
      </c>
      <c r="E129" s="245"/>
      <c r="F129" s="245"/>
      <c r="G129" s="559">
        <f>G130</f>
        <v>68735.284610000002</v>
      </c>
      <c r="H129" s="559"/>
      <c r="I129" s="536">
        <f>I130</f>
        <v>24206.614000000001</v>
      </c>
      <c r="J129" s="679"/>
      <c r="K129" s="679"/>
      <c r="L129" s="679"/>
      <c r="M129" s="247">
        <f>M130</f>
        <v>24238.805</v>
      </c>
      <c r="N129" s="702"/>
    </row>
    <row r="130" spans="1:14" s="8" customFormat="1" ht="39" hidden="1" thickBot="1" x14ac:dyDescent="0.25">
      <c r="A130" s="249" t="s">
        <v>393</v>
      </c>
      <c r="B130" s="250"/>
      <c r="C130" s="250" t="s">
        <v>36</v>
      </c>
      <c r="D130" s="250" t="s">
        <v>49</v>
      </c>
      <c r="E130" s="250" t="s">
        <v>51</v>
      </c>
      <c r="F130" s="129"/>
      <c r="G130" s="560">
        <f>G131</f>
        <v>68735.284610000002</v>
      </c>
      <c r="H130" s="560"/>
      <c r="I130" s="537">
        <f>I131+I149</f>
        <v>24206.614000000001</v>
      </c>
      <c r="J130" s="680"/>
      <c r="K130" s="680"/>
      <c r="L130" s="680"/>
      <c r="M130" s="251">
        <f>M131+M149</f>
        <v>24238.805</v>
      </c>
      <c r="N130" s="703"/>
    </row>
    <row r="131" spans="1:14" s="8" customFormat="1" ht="13.5" hidden="1" thickBot="1" x14ac:dyDescent="0.25">
      <c r="A131" s="89" t="s">
        <v>232</v>
      </c>
      <c r="B131" s="112"/>
      <c r="C131" s="112" t="s">
        <v>36</v>
      </c>
      <c r="D131" s="112" t="s">
        <v>49</v>
      </c>
      <c r="E131" s="112" t="s">
        <v>251</v>
      </c>
      <c r="F131" s="112"/>
      <c r="G131" s="561">
        <f>G132+G145</f>
        <v>68735.284610000002</v>
      </c>
      <c r="H131" s="561"/>
      <c r="I131" s="333">
        <f>I132+I145</f>
        <v>18535.092260000001</v>
      </c>
      <c r="J131" s="681"/>
      <c r="K131" s="681"/>
      <c r="L131" s="681"/>
      <c r="M131" s="253">
        <f>M132+M145</f>
        <v>18669.78326</v>
      </c>
      <c r="N131" s="704"/>
    </row>
    <row r="132" spans="1:14" s="8" customFormat="1" ht="64.5" hidden="1" thickBot="1" x14ac:dyDescent="0.25">
      <c r="A132" s="9" t="s">
        <v>252</v>
      </c>
      <c r="B132" s="5"/>
      <c r="C132" s="5" t="s">
        <v>36</v>
      </c>
      <c r="D132" s="5" t="s">
        <v>49</v>
      </c>
      <c r="E132" s="5" t="s">
        <v>253</v>
      </c>
      <c r="F132" s="5"/>
      <c r="G132" s="562">
        <f>G133+G136+G139+G142</f>
        <v>65735.284610000002</v>
      </c>
      <c r="H132" s="562"/>
      <c r="I132" s="287">
        <f>I133+I136+I139+I142</f>
        <v>18035.092260000001</v>
      </c>
      <c r="J132" s="682"/>
      <c r="K132" s="682"/>
      <c r="L132" s="682"/>
      <c r="M132" s="11">
        <f>M133+M136+M139+M142</f>
        <v>18169.78326</v>
      </c>
      <c r="N132" s="705"/>
    </row>
    <row r="133" spans="1:14" s="8" customFormat="1" ht="13.5" hidden="1" thickBot="1" x14ac:dyDescent="0.25">
      <c r="A133" s="9" t="s">
        <v>52</v>
      </c>
      <c r="B133" s="5"/>
      <c r="C133" s="5" t="s">
        <v>36</v>
      </c>
      <c r="D133" s="5" t="s">
        <v>49</v>
      </c>
      <c r="E133" s="5" t="s">
        <v>254</v>
      </c>
      <c r="F133" s="5"/>
      <c r="G133" s="562">
        <f>SUM(G135)</f>
        <v>19601.2</v>
      </c>
      <c r="H133" s="562"/>
      <c r="I133" s="287">
        <f>SUM(I135)</f>
        <v>15554</v>
      </c>
      <c r="J133" s="682"/>
      <c r="K133" s="682"/>
      <c r="L133" s="682"/>
      <c r="M133" s="11">
        <f>SUM(M135)</f>
        <v>15554</v>
      </c>
      <c r="N133" s="705"/>
    </row>
    <row r="134" spans="1:14" s="8" customFormat="1" ht="26.25" hidden="1" thickBot="1" x14ac:dyDescent="0.25">
      <c r="A134" s="10" t="s">
        <v>31</v>
      </c>
      <c r="B134" s="5"/>
      <c r="C134" s="5" t="s">
        <v>36</v>
      </c>
      <c r="D134" s="5" t="s">
        <v>49</v>
      </c>
      <c r="E134" s="5" t="s">
        <v>254</v>
      </c>
      <c r="F134" s="5" t="s">
        <v>66</v>
      </c>
      <c r="G134" s="562">
        <f>G135</f>
        <v>19601.2</v>
      </c>
      <c r="H134" s="562"/>
      <c r="I134" s="287">
        <f>I135</f>
        <v>15554</v>
      </c>
      <c r="J134" s="682"/>
      <c r="K134" s="682"/>
      <c r="L134" s="682"/>
      <c r="M134" s="11">
        <f>M135</f>
        <v>15554</v>
      </c>
      <c r="N134" s="705"/>
    </row>
    <row r="135" spans="1:14" s="8" customFormat="1" ht="26.25" hidden="1" thickBot="1" x14ac:dyDescent="0.25">
      <c r="A135" s="10" t="s">
        <v>67</v>
      </c>
      <c r="B135" s="5"/>
      <c r="C135" s="5" t="s">
        <v>36</v>
      </c>
      <c r="D135" s="5" t="s">
        <v>49</v>
      </c>
      <c r="E135" s="5" t="s">
        <v>254</v>
      </c>
      <c r="F135" s="5" t="s">
        <v>68</v>
      </c>
      <c r="G135" s="562">
        <v>19601.2</v>
      </c>
      <c r="H135" s="562"/>
      <c r="I135" s="287">
        <v>15554</v>
      </c>
      <c r="J135" s="682"/>
      <c r="K135" s="682"/>
      <c r="L135" s="682"/>
      <c r="M135" s="11">
        <f>15099+455</f>
        <v>15554</v>
      </c>
      <c r="N135" s="705"/>
    </row>
    <row r="136" spans="1:14" s="8" customFormat="1" ht="26.25" hidden="1" thickBot="1" x14ac:dyDescent="0.25">
      <c r="A136" s="9" t="s">
        <v>256</v>
      </c>
      <c r="B136" s="5"/>
      <c r="C136" s="5" t="s">
        <v>36</v>
      </c>
      <c r="D136" s="5" t="s">
        <v>49</v>
      </c>
      <c r="E136" s="5" t="s">
        <v>255</v>
      </c>
      <c r="F136" s="5"/>
      <c r="G136" s="562">
        <f t="shared" ref="G136:M137" si="11">G137</f>
        <v>18823.644980000001</v>
      </c>
      <c r="H136" s="562"/>
      <c r="I136" s="287">
        <f t="shared" si="11"/>
        <v>0</v>
      </c>
      <c r="J136" s="682"/>
      <c r="K136" s="682"/>
      <c r="L136" s="682"/>
      <c r="M136" s="11">
        <f t="shared" si="11"/>
        <v>0</v>
      </c>
      <c r="N136" s="705"/>
    </row>
    <row r="137" spans="1:14" s="8" customFormat="1" ht="26.25" hidden="1" thickBot="1" x14ac:dyDescent="0.25">
      <c r="A137" s="10" t="s">
        <v>31</v>
      </c>
      <c r="B137" s="5"/>
      <c r="C137" s="5" t="s">
        <v>36</v>
      </c>
      <c r="D137" s="5" t="s">
        <v>49</v>
      </c>
      <c r="E137" s="5" t="s">
        <v>255</v>
      </c>
      <c r="F137" s="5" t="s">
        <v>66</v>
      </c>
      <c r="G137" s="562">
        <f t="shared" si="11"/>
        <v>18823.644980000001</v>
      </c>
      <c r="H137" s="562"/>
      <c r="I137" s="287">
        <f t="shared" si="11"/>
        <v>0</v>
      </c>
      <c r="J137" s="682"/>
      <c r="K137" s="682"/>
      <c r="L137" s="682"/>
      <c r="M137" s="11">
        <f t="shared" si="11"/>
        <v>0</v>
      </c>
      <c r="N137" s="705"/>
    </row>
    <row r="138" spans="1:14" s="8" customFormat="1" ht="26.25" hidden="1" thickBot="1" x14ac:dyDescent="0.25">
      <c r="A138" s="10" t="s">
        <v>67</v>
      </c>
      <c r="B138" s="5"/>
      <c r="C138" s="5" t="s">
        <v>36</v>
      </c>
      <c r="D138" s="5" t="s">
        <v>49</v>
      </c>
      <c r="E138" s="5" t="s">
        <v>255</v>
      </c>
      <c r="F138" s="5" t="s">
        <v>68</v>
      </c>
      <c r="G138" s="562">
        <v>18823.644980000001</v>
      </c>
      <c r="H138" s="562"/>
      <c r="I138" s="287">
        <v>0</v>
      </c>
      <c r="J138" s="682"/>
      <c r="K138" s="682"/>
      <c r="L138" s="682"/>
      <c r="M138" s="11">
        <v>0</v>
      </c>
      <c r="N138" s="705"/>
    </row>
    <row r="139" spans="1:14" s="8" customFormat="1" ht="25.5" hidden="1" customHeight="1" x14ac:dyDescent="0.2">
      <c r="A139" s="9" t="s">
        <v>303</v>
      </c>
      <c r="B139" s="5"/>
      <c r="C139" s="5" t="s">
        <v>36</v>
      </c>
      <c r="D139" s="5" t="s">
        <v>49</v>
      </c>
      <c r="E139" s="5" t="s">
        <v>257</v>
      </c>
      <c r="F139" s="5"/>
      <c r="G139" s="562">
        <f t="shared" ref="G139:M140" si="12">G140</f>
        <v>25115.421630000001</v>
      </c>
      <c r="H139" s="562"/>
      <c r="I139" s="287">
        <f t="shared" si="12"/>
        <v>0</v>
      </c>
      <c r="J139" s="682"/>
      <c r="K139" s="682"/>
      <c r="L139" s="682"/>
      <c r="M139" s="11">
        <f t="shared" si="12"/>
        <v>0</v>
      </c>
      <c r="N139" s="705"/>
    </row>
    <row r="140" spans="1:14" s="8" customFormat="1" ht="26.25" hidden="1" thickBot="1" x14ac:dyDescent="0.25">
      <c r="A140" s="10" t="s">
        <v>31</v>
      </c>
      <c r="B140" s="5"/>
      <c r="C140" s="5" t="s">
        <v>36</v>
      </c>
      <c r="D140" s="5" t="s">
        <v>49</v>
      </c>
      <c r="E140" s="5" t="s">
        <v>257</v>
      </c>
      <c r="F140" s="5" t="s">
        <v>66</v>
      </c>
      <c r="G140" s="562">
        <f t="shared" si="12"/>
        <v>25115.421630000001</v>
      </c>
      <c r="H140" s="562"/>
      <c r="I140" s="287">
        <f t="shared" si="12"/>
        <v>0</v>
      </c>
      <c r="J140" s="682"/>
      <c r="K140" s="682"/>
      <c r="L140" s="682"/>
      <c r="M140" s="11">
        <f t="shared" si="12"/>
        <v>0</v>
      </c>
      <c r="N140" s="705"/>
    </row>
    <row r="141" spans="1:14" s="8" customFormat="1" ht="26.25" hidden="1" thickBot="1" x14ac:dyDescent="0.25">
      <c r="A141" s="10" t="s">
        <v>67</v>
      </c>
      <c r="B141" s="5"/>
      <c r="C141" s="5" t="s">
        <v>36</v>
      </c>
      <c r="D141" s="5" t="s">
        <v>49</v>
      </c>
      <c r="E141" s="5" t="s">
        <v>257</v>
      </c>
      <c r="F141" s="5" t="s">
        <v>68</v>
      </c>
      <c r="G141" s="562">
        <v>25115.421630000001</v>
      </c>
      <c r="H141" s="562"/>
      <c r="I141" s="287">
        <v>0</v>
      </c>
      <c r="J141" s="682"/>
      <c r="K141" s="682"/>
      <c r="L141" s="682"/>
      <c r="M141" s="11">
        <v>0</v>
      </c>
      <c r="N141" s="705"/>
    </row>
    <row r="142" spans="1:14" s="8" customFormat="1" ht="27.75" hidden="1" customHeight="1" x14ac:dyDescent="0.2">
      <c r="A142" s="9" t="s">
        <v>411</v>
      </c>
      <c r="B142" s="5"/>
      <c r="C142" s="5" t="s">
        <v>36</v>
      </c>
      <c r="D142" s="5" t="s">
        <v>49</v>
      </c>
      <c r="E142" s="7" t="s">
        <v>395</v>
      </c>
      <c r="F142" s="5"/>
      <c r="G142" s="562">
        <f t="shared" ref="G142:M143" si="13">G143</f>
        <v>2195.018</v>
      </c>
      <c r="H142" s="562"/>
      <c r="I142" s="287">
        <f t="shared" si="13"/>
        <v>2481.0922599999999</v>
      </c>
      <c r="J142" s="682"/>
      <c r="K142" s="682"/>
      <c r="L142" s="682"/>
      <c r="M142" s="11">
        <f t="shared" si="13"/>
        <v>2615.7832600000002</v>
      </c>
      <c r="N142" s="705"/>
    </row>
    <row r="143" spans="1:14" s="8" customFormat="1" ht="26.25" hidden="1" thickBot="1" x14ac:dyDescent="0.25">
      <c r="A143" s="10" t="s">
        <v>31</v>
      </c>
      <c r="B143" s="5"/>
      <c r="C143" s="5" t="s">
        <v>36</v>
      </c>
      <c r="D143" s="5" t="s">
        <v>49</v>
      </c>
      <c r="E143" s="7" t="s">
        <v>395</v>
      </c>
      <c r="F143" s="5" t="s">
        <v>66</v>
      </c>
      <c r="G143" s="562">
        <f t="shared" si="13"/>
        <v>2195.018</v>
      </c>
      <c r="H143" s="562"/>
      <c r="I143" s="287">
        <f t="shared" si="13"/>
        <v>2481.0922599999999</v>
      </c>
      <c r="J143" s="682"/>
      <c r="K143" s="682"/>
      <c r="L143" s="682"/>
      <c r="M143" s="11">
        <f t="shared" si="13"/>
        <v>2615.7832600000002</v>
      </c>
      <c r="N143" s="705"/>
    </row>
    <row r="144" spans="1:14" s="8" customFormat="1" ht="26.25" hidden="1" thickBot="1" x14ac:dyDescent="0.25">
      <c r="A144" s="10" t="s">
        <v>67</v>
      </c>
      <c r="B144" s="5"/>
      <c r="C144" s="5" t="s">
        <v>36</v>
      </c>
      <c r="D144" s="5" t="s">
        <v>49</v>
      </c>
      <c r="E144" s="7" t="s">
        <v>395</v>
      </c>
      <c r="F144" s="5" t="s">
        <v>68</v>
      </c>
      <c r="G144" s="562">
        <f>пр.5!C22</f>
        <v>2195.018</v>
      </c>
      <c r="H144" s="562"/>
      <c r="I144" s="287">
        <v>2481.0922599999999</v>
      </c>
      <c r="J144" s="287"/>
      <c r="K144" s="287"/>
      <c r="L144" s="287"/>
      <c r="M144" s="6">
        <v>2615.7832600000002</v>
      </c>
      <c r="N144" s="705"/>
    </row>
    <row r="145" spans="1:14" s="8" customFormat="1" ht="12.75" hidden="1" customHeight="1" x14ac:dyDescent="0.2">
      <c r="A145" s="9" t="s">
        <v>286</v>
      </c>
      <c r="B145" s="5"/>
      <c r="C145" s="5" t="s">
        <v>36</v>
      </c>
      <c r="D145" s="5" t="s">
        <v>49</v>
      </c>
      <c r="E145" s="5" t="s">
        <v>287</v>
      </c>
      <c r="F145" s="254"/>
      <c r="G145" s="562">
        <f>G146</f>
        <v>3000</v>
      </c>
      <c r="H145" s="562"/>
      <c r="I145" s="287">
        <f>I146</f>
        <v>500</v>
      </c>
      <c r="J145" s="682"/>
      <c r="K145" s="682"/>
      <c r="L145" s="682"/>
      <c r="M145" s="11">
        <f>M146</f>
        <v>500</v>
      </c>
      <c r="N145" s="705"/>
    </row>
    <row r="146" spans="1:14" s="8" customFormat="1" ht="25.5" hidden="1" customHeight="1" x14ac:dyDescent="0.2">
      <c r="A146" s="9" t="s">
        <v>54</v>
      </c>
      <c r="B146" s="5"/>
      <c r="C146" s="5" t="s">
        <v>36</v>
      </c>
      <c r="D146" s="5" t="s">
        <v>49</v>
      </c>
      <c r="E146" s="5" t="s">
        <v>288</v>
      </c>
      <c r="F146" s="254"/>
      <c r="G146" s="562">
        <f>SUM(G148)</f>
        <v>3000</v>
      </c>
      <c r="H146" s="562"/>
      <c r="I146" s="287">
        <f>SUM(I148)</f>
        <v>500</v>
      </c>
      <c r="J146" s="682"/>
      <c r="K146" s="682"/>
      <c r="L146" s="682"/>
      <c r="M146" s="11">
        <f>SUM(M148)</f>
        <v>500</v>
      </c>
      <c r="N146" s="705"/>
    </row>
    <row r="147" spans="1:14" s="8" customFormat="1" ht="12.75" hidden="1" customHeight="1" x14ac:dyDescent="0.2">
      <c r="A147" s="10" t="s">
        <v>31</v>
      </c>
      <c r="B147" s="5"/>
      <c r="C147" s="5" t="s">
        <v>36</v>
      </c>
      <c r="D147" s="5" t="s">
        <v>49</v>
      </c>
      <c r="E147" s="5" t="s">
        <v>288</v>
      </c>
      <c r="F147" s="5" t="s">
        <v>66</v>
      </c>
      <c r="G147" s="562">
        <f>G148</f>
        <v>3000</v>
      </c>
      <c r="H147" s="562"/>
      <c r="I147" s="287">
        <f>I148</f>
        <v>500</v>
      </c>
      <c r="J147" s="682"/>
      <c r="K147" s="682"/>
      <c r="L147" s="682"/>
      <c r="M147" s="11">
        <f>M148</f>
        <v>500</v>
      </c>
      <c r="N147" s="705"/>
    </row>
    <row r="148" spans="1:14" s="8" customFormat="1" ht="26.25" hidden="1" thickBot="1" x14ac:dyDescent="0.25">
      <c r="A148" s="10" t="s">
        <v>67</v>
      </c>
      <c r="B148" s="5"/>
      <c r="C148" s="5" t="s">
        <v>36</v>
      </c>
      <c r="D148" s="5" t="s">
        <v>49</v>
      </c>
      <c r="E148" s="5" t="s">
        <v>288</v>
      </c>
      <c r="F148" s="5" t="s">
        <v>68</v>
      </c>
      <c r="G148" s="562">
        <v>3000</v>
      </c>
      <c r="H148" s="562"/>
      <c r="I148" s="287">
        <v>500</v>
      </c>
      <c r="J148" s="682"/>
      <c r="K148" s="682"/>
      <c r="L148" s="682"/>
      <c r="M148" s="11">
        <v>500</v>
      </c>
      <c r="N148" s="705"/>
    </row>
    <row r="149" spans="1:14" s="8" customFormat="1" ht="13.5" hidden="1" thickBot="1" x14ac:dyDescent="0.25">
      <c r="A149" s="473" t="s">
        <v>410</v>
      </c>
      <c r="B149" s="112"/>
      <c r="C149" s="474" t="s">
        <v>36</v>
      </c>
      <c r="D149" s="474" t="s">
        <v>49</v>
      </c>
      <c r="E149" s="112" t="s">
        <v>386</v>
      </c>
      <c r="F149" s="474"/>
      <c r="G149" s="561">
        <f t="shared" ref="G149:I152" si="14">G150</f>
        <v>0</v>
      </c>
      <c r="H149" s="561"/>
      <c r="I149" s="333">
        <f t="shared" si="14"/>
        <v>5671.5217400000001</v>
      </c>
      <c r="J149" s="681"/>
      <c r="K149" s="681"/>
      <c r="L149" s="681"/>
      <c r="M149" s="253">
        <f>M152</f>
        <v>5569.0217400000001</v>
      </c>
      <c r="N149" s="704"/>
    </row>
    <row r="150" spans="1:14" s="8" customFormat="1" ht="25.5" hidden="1" customHeight="1" x14ac:dyDescent="0.2">
      <c r="A150" s="9" t="s">
        <v>389</v>
      </c>
      <c r="B150" s="5"/>
      <c r="C150" s="475" t="s">
        <v>36</v>
      </c>
      <c r="D150" s="475" t="s">
        <v>49</v>
      </c>
      <c r="E150" s="5" t="s">
        <v>387</v>
      </c>
      <c r="F150" s="475"/>
      <c r="G150" s="562">
        <f t="shared" si="14"/>
        <v>0</v>
      </c>
      <c r="H150" s="562"/>
      <c r="I150" s="287">
        <f t="shared" si="14"/>
        <v>5671.5217400000001</v>
      </c>
      <c r="J150" s="682"/>
      <c r="K150" s="682"/>
      <c r="L150" s="682"/>
      <c r="M150" s="11">
        <f>M153</f>
        <v>5569.0217400000001</v>
      </c>
      <c r="N150" s="705"/>
    </row>
    <row r="151" spans="1:14" s="8" customFormat="1" ht="26.25" hidden="1" thickBot="1" x14ac:dyDescent="0.25">
      <c r="A151" s="9" t="s">
        <v>508</v>
      </c>
      <c r="B151" s="5"/>
      <c r="C151" s="475" t="s">
        <v>36</v>
      </c>
      <c r="D151" s="475" t="s">
        <v>49</v>
      </c>
      <c r="E151" s="5" t="s">
        <v>388</v>
      </c>
      <c r="F151" s="5"/>
      <c r="G151" s="562">
        <f t="shared" si="14"/>
        <v>0</v>
      </c>
      <c r="H151" s="562"/>
      <c r="I151" s="287">
        <f t="shared" si="14"/>
        <v>5671.5217400000001</v>
      </c>
      <c r="J151" s="682"/>
      <c r="K151" s="682"/>
      <c r="L151" s="682"/>
      <c r="M151" s="11">
        <f>M152</f>
        <v>5569.0217400000001</v>
      </c>
      <c r="N151" s="705"/>
    </row>
    <row r="152" spans="1:14" s="8" customFormat="1" ht="26.25" hidden="1" thickBot="1" x14ac:dyDescent="0.25">
      <c r="A152" s="10" t="s">
        <v>31</v>
      </c>
      <c r="B152" s="194"/>
      <c r="C152" s="5" t="s">
        <v>36</v>
      </c>
      <c r="D152" s="5" t="s">
        <v>49</v>
      </c>
      <c r="E152" s="5" t="s">
        <v>388</v>
      </c>
      <c r="F152" s="5" t="s">
        <v>66</v>
      </c>
      <c r="G152" s="562">
        <f t="shared" si="14"/>
        <v>0</v>
      </c>
      <c r="H152" s="562"/>
      <c r="I152" s="287">
        <f t="shared" si="14"/>
        <v>5671.5217400000001</v>
      </c>
      <c r="J152" s="682"/>
      <c r="K152" s="682"/>
      <c r="L152" s="682"/>
      <c r="M152" s="11">
        <f>M153</f>
        <v>5569.0217400000001</v>
      </c>
      <c r="N152" s="705"/>
    </row>
    <row r="153" spans="1:14" s="8" customFormat="1" ht="26.25" hidden="1" thickBot="1" x14ac:dyDescent="0.25">
      <c r="A153" s="476" t="s">
        <v>67</v>
      </c>
      <c r="B153" s="105"/>
      <c r="C153" s="105" t="s">
        <v>36</v>
      </c>
      <c r="D153" s="105" t="s">
        <v>49</v>
      </c>
      <c r="E153" s="105" t="s">
        <v>388</v>
      </c>
      <c r="F153" s="105" t="s">
        <v>68</v>
      </c>
      <c r="G153" s="569">
        <f>пр.5!C23</f>
        <v>0</v>
      </c>
      <c r="H153" s="569"/>
      <c r="I153" s="543">
        <v>5671.5217400000001</v>
      </c>
      <c r="J153" s="688"/>
      <c r="K153" s="688"/>
      <c r="L153" s="688"/>
      <c r="M153" s="477">
        <v>5569.0217400000001</v>
      </c>
      <c r="N153" s="705"/>
    </row>
    <row r="154" spans="1:14" s="8" customFormat="1" ht="14.25" hidden="1" thickBot="1" x14ac:dyDescent="0.25">
      <c r="A154" s="185" t="s">
        <v>35</v>
      </c>
      <c r="B154" s="186"/>
      <c r="C154" s="186" t="s">
        <v>36</v>
      </c>
      <c r="D154" s="186" t="s">
        <v>37</v>
      </c>
      <c r="E154" s="186"/>
      <c r="F154" s="186"/>
      <c r="G154" s="570">
        <f>G155</f>
        <v>1608.35466</v>
      </c>
      <c r="H154" s="570"/>
      <c r="I154" s="544">
        <f>I155</f>
        <v>950</v>
      </c>
      <c r="J154" s="689"/>
      <c r="K154" s="689"/>
      <c r="L154" s="689"/>
      <c r="M154" s="285">
        <f>M155</f>
        <v>900</v>
      </c>
      <c r="N154" s="702"/>
    </row>
    <row r="155" spans="1:14" s="8" customFormat="1" ht="39" hidden="1" thickBot="1" x14ac:dyDescent="0.25">
      <c r="A155" s="478" t="s">
        <v>401</v>
      </c>
      <c r="B155" s="172"/>
      <c r="C155" s="172" t="s">
        <v>36</v>
      </c>
      <c r="D155" s="172" t="s">
        <v>37</v>
      </c>
      <c r="E155" s="172" t="s">
        <v>94</v>
      </c>
      <c r="F155" s="172"/>
      <c r="G155" s="571">
        <f t="shared" ref="G155:M156" si="15">G156</f>
        <v>1608.35466</v>
      </c>
      <c r="H155" s="571"/>
      <c r="I155" s="545">
        <f t="shared" si="15"/>
        <v>950</v>
      </c>
      <c r="J155" s="690"/>
      <c r="K155" s="690"/>
      <c r="L155" s="690"/>
      <c r="M155" s="167">
        <f t="shared" si="15"/>
        <v>900</v>
      </c>
      <c r="N155" s="703"/>
    </row>
    <row r="156" spans="1:14" s="8" customFormat="1" ht="13.5" hidden="1" thickBot="1" x14ac:dyDescent="0.25">
      <c r="A156" s="479" t="s">
        <v>13</v>
      </c>
      <c r="B156" s="70"/>
      <c r="C156" s="70" t="s">
        <v>36</v>
      </c>
      <c r="D156" s="70" t="s">
        <v>37</v>
      </c>
      <c r="E156" s="70" t="s">
        <v>95</v>
      </c>
      <c r="F156" s="70"/>
      <c r="G156" s="572">
        <f t="shared" si="15"/>
        <v>1608.35466</v>
      </c>
      <c r="H156" s="572"/>
      <c r="I156" s="546">
        <f t="shared" si="15"/>
        <v>950</v>
      </c>
      <c r="J156" s="691"/>
      <c r="K156" s="691"/>
      <c r="L156" s="691"/>
      <c r="M156" s="480">
        <f t="shared" si="15"/>
        <v>900</v>
      </c>
      <c r="N156" s="704"/>
    </row>
    <row r="157" spans="1:14" s="8" customFormat="1" ht="13.5" hidden="1" thickBot="1" x14ac:dyDescent="0.25">
      <c r="A157" s="281" t="s">
        <v>13</v>
      </c>
      <c r="B157" s="5"/>
      <c r="C157" s="5" t="s">
        <v>36</v>
      </c>
      <c r="D157" s="5" t="s">
        <v>37</v>
      </c>
      <c r="E157" s="5" t="s">
        <v>96</v>
      </c>
      <c r="F157" s="5"/>
      <c r="G157" s="562">
        <f>G158+G161+G169+G164</f>
        <v>1608.35466</v>
      </c>
      <c r="H157" s="562"/>
      <c r="I157" s="287">
        <f>I158+I161+I169+I164</f>
        <v>950</v>
      </c>
      <c r="J157" s="682"/>
      <c r="K157" s="682"/>
      <c r="L157" s="682"/>
      <c r="M157" s="11">
        <f>M158+M161+M169+M164</f>
        <v>900</v>
      </c>
      <c r="N157" s="705"/>
    </row>
    <row r="158" spans="1:14" s="8" customFormat="1" ht="13.5" hidden="1" thickBot="1" x14ac:dyDescent="0.25">
      <c r="A158" s="9" t="s">
        <v>103</v>
      </c>
      <c r="B158" s="5"/>
      <c r="C158" s="5" t="s">
        <v>36</v>
      </c>
      <c r="D158" s="5" t="s">
        <v>37</v>
      </c>
      <c r="E158" s="5" t="s">
        <v>104</v>
      </c>
      <c r="F158" s="254"/>
      <c r="G158" s="562">
        <f>G160</f>
        <v>338.49045999999998</v>
      </c>
      <c r="H158" s="562"/>
      <c r="I158" s="287">
        <f>I160</f>
        <v>550</v>
      </c>
      <c r="J158" s="682"/>
      <c r="K158" s="682"/>
      <c r="L158" s="682"/>
      <c r="M158" s="11">
        <f>M160</f>
        <v>500</v>
      </c>
      <c r="N158" s="705"/>
    </row>
    <row r="159" spans="1:14" s="8" customFormat="1" ht="26.25" hidden="1" thickBot="1" x14ac:dyDescent="0.25">
      <c r="A159" s="10" t="s">
        <v>31</v>
      </c>
      <c r="B159" s="5"/>
      <c r="C159" s="5" t="s">
        <v>36</v>
      </c>
      <c r="D159" s="5" t="s">
        <v>37</v>
      </c>
      <c r="E159" s="5" t="s">
        <v>104</v>
      </c>
      <c r="F159" s="5" t="s">
        <v>66</v>
      </c>
      <c r="G159" s="562">
        <f>G160</f>
        <v>338.49045999999998</v>
      </c>
      <c r="H159" s="562"/>
      <c r="I159" s="287">
        <f>I160</f>
        <v>550</v>
      </c>
      <c r="J159" s="682"/>
      <c r="K159" s="682"/>
      <c r="L159" s="682"/>
      <c r="M159" s="11">
        <f>M160</f>
        <v>500</v>
      </c>
      <c r="N159" s="705"/>
    </row>
    <row r="160" spans="1:14" s="8" customFormat="1" ht="26.25" hidden="1" thickBot="1" x14ac:dyDescent="0.25">
      <c r="A160" s="10" t="s">
        <v>67</v>
      </c>
      <c r="B160" s="5"/>
      <c r="C160" s="5" t="s">
        <v>36</v>
      </c>
      <c r="D160" s="5" t="s">
        <v>37</v>
      </c>
      <c r="E160" s="5" t="s">
        <v>104</v>
      </c>
      <c r="F160" s="5" t="s">
        <v>68</v>
      </c>
      <c r="G160" s="562">
        <f>2000-1661.50954</f>
        <v>338.49045999999998</v>
      </c>
      <c r="H160" s="562"/>
      <c r="I160" s="287">
        <v>550</v>
      </c>
      <c r="J160" s="682"/>
      <c r="K160" s="682"/>
      <c r="L160" s="682"/>
      <c r="M160" s="11">
        <v>500</v>
      </c>
      <c r="N160" s="705"/>
    </row>
    <row r="161" spans="1:14" s="8" customFormat="1" ht="13.5" hidden="1" thickBot="1" x14ac:dyDescent="0.25">
      <c r="A161" s="9" t="s">
        <v>105</v>
      </c>
      <c r="B161" s="5"/>
      <c r="C161" s="5" t="s">
        <v>36</v>
      </c>
      <c r="D161" s="5" t="s">
        <v>37</v>
      </c>
      <c r="E161" s="5" t="s">
        <v>106</v>
      </c>
      <c r="F161" s="5"/>
      <c r="G161" s="562">
        <f>G163</f>
        <v>200</v>
      </c>
      <c r="H161" s="562"/>
      <c r="I161" s="287">
        <f>I163</f>
        <v>0</v>
      </c>
      <c r="J161" s="682"/>
      <c r="K161" s="682"/>
      <c r="L161" s="682"/>
      <c r="M161" s="11">
        <f>M163</f>
        <v>0</v>
      </c>
      <c r="N161" s="705"/>
    </row>
    <row r="162" spans="1:14" s="8" customFormat="1" ht="26.25" hidden="1" thickBot="1" x14ac:dyDescent="0.25">
      <c r="A162" s="10" t="s">
        <v>31</v>
      </c>
      <c r="B162" s="5"/>
      <c r="C162" s="5" t="s">
        <v>36</v>
      </c>
      <c r="D162" s="5" t="s">
        <v>37</v>
      </c>
      <c r="E162" s="5" t="s">
        <v>106</v>
      </c>
      <c r="F162" s="5" t="s">
        <v>66</v>
      </c>
      <c r="G162" s="562">
        <f>G163</f>
        <v>200</v>
      </c>
      <c r="H162" s="562"/>
      <c r="I162" s="287">
        <f>I163</f>
        <v>0</v>
      </c>
      <c r="J162" s="682"/>
      <c r="K162" s="682"/>
      <c r="L162" s="682"/>
      <c r="M162" s="11">
        <f>M163</f>
        <v>0</v>
      </c>
      <c r="N162" s="705"/>
    </row>
    <row r="163" spans="1:14" s="8" customFormat="1" ht="26.25" hidden="1" thickBot="1" x14ac:dyDescent="0.25">
      <c r="A163" s="10" t="s">
        <v>67</v>
      </c>
      <c r="B163" s="5"/>
      <c r="C163" s="5" t="s">
        <v>36</v>
      </c>
      <c r="D163" s="5" t="s">
        <v>37</v>
      </c>
      <c r="E163" s="5" t="s">
        <v>106</v>
      </c>
      <c r="F163" s="5" t="s">
        <v>68</v>
      </c>
      <c r="G163" s="562">
        <v>200</v>
      </c>
      <c r="H163" s="562"/>
      <c r="I163" s="287">
        <v>0</v>
      </c>
      <c r="J163" s="682"/>
      <c r="K163" s="682"/>
      <c r="L163" s="682"/>
      <c r="M163" s="11">
        <v>0</v>
      </c>
      <c r="N163" s="705"/>
    </row>
    <row r="164" spans="1:14" s="8" customFormat="1" ht="26.25" hidden="1" thickBot="1" x14ac:dyDescent="0.25">
      <c r="A164" s="9" t="s">
        <v>107</v>
      </c>
      <c r="B164" s="5"/>
      <c r="C164" s="5" t="s">
        <v>36</v>
      </c>
      <c r="D164" s="5" t="s">
        <v>37</v>
      </c>
      <c r="E164" s="5" t="s">
        <v>108</v>
      </c>
      <c r="F164" s="5"/>
      <c r="G164" s="562">
        <f t="shared" ref="G164:M165" si="16">G165</f>
        <v>600</v>
      </c>
      <c r="H164" s="562"/>
      <c r="I164" s="287">
        <f t="shared" si="16"/>
        <v>400</v>
      </c>
      <c r="J164" s="682"/>
      <c r="K164" s="682"/>
      <c r="L164" s="682"/>
      <c r="M164" s="11">
        <f t="shared" si="16"/>
        <v>400</v>
      </c>
      <c r="N164" s="705"/>
    </row>
    <row r="165" spans="1:14" s="8" customFormat="1" ht="26.25" hidden="1" thickBot="1" x14ac:dyDescent="0.25">
      <c r="A165" s="10" t="s">
        <v>31</v>
      </c>
      <c r="B165" s="5"/>
      <c r="C165" s="5" t="s">
        <v>36</v>
      </c>
      <c r="D165" s="5" t="s">
        <v>37</v>
      </c>
      <c r="E165" s="5" t="s">
        <v>108</v>
      </c>
      <c r="F165" s="5" t="s">
        <v>66</v>
      </c>
      <c r="G165" s="562">
        <f t="shared" si="16"/>
        <v>600</v>
      </c>
      <c r="H165" s="562"/>
      <c r="I165" s="287">
        <f t="shared" si="16"/>
        <v>400</v>
      </c>
      <c r="J165" s="682"/>
      <c r="K165" s="682"/>
      <c r="L165" s="682"/>
      <c r="M165" s="11">
        <f t="shared" si="16"/>
        <v>400</v>
      </c>
      <c r="N165" s="705"/>
    </row>
    <row r="166" spans="1:14" s="8" customFormat="1" ht="26.25" hidden="1" thickBot="1" x14ac:dyDescent="0.25">
      <c r="A166" s="255" t="s">
        <v>67</v>
      </c>
      <c r="B166" s="130"/>
      <c r="C166" s="130" t="s">
        <v>36</v>
      </c>
      <c r="D166" s="130" t="s">
        <v>37</v>
      </c>
      <c r="E166" s="130" t="s">
        <v>108</v>
      </c>
      <c r="F166" s="130" t="s">
        <v>68</v>
      </c>
      <c r="G166" s="563">
        <f>300+300</f>
        <v>600</v>
      </c>
      <c r="H166" s="563"/>
      <c r="I166" s="538">
        <f>300+100</f>
        <v>400</v>
      </c>
      <c r="J166" s="683"/>
      <c r="K166" s="683"/>
      <c r="L166" s="683"/>
      <c r="M166" s="171">
        <f>300+100</f>
        <v>400</v>
      </c>
      <c r="N166" s="705"/>
    </row>
    <row r="167" spans="1:14" s="8" customFormat="1" ht="51.75" hidden="1" thickBot="1" x14ac:dyDescent="0.25">
      <c r="A167" s="197" t="s">
        <v>154</v>
      </c>
      <c r="B167" s="5"/>
      <c r="C167" s="5" t="s">
        <v>36</v>
      </c>
      <c r="D167" s="5" t="s">
        <v>37</v>
      </c>
      <c r="E167" s="5" t="s">
        <v>213</v>
      </c>
      <c r="F167" s="5"/>
      <c r="G167" s="562">
        <f>SUM(G169)</f>
        <v>469.86419999999998</v>
      </c>
      <c r="H167" s="562"/>
      <c r="I167" s="287">
        <f>SUM(I169)</f>
        <v>0</v>
      </c>
      <c r="J167" s="682"/>
      <c r="K167" s="682"/>
      <c r="L167" s="682"/>
      <c r="M167" s="11">
        <f>SUM(M169)</f>
        <v>0</v>
      </c>
      <c r="N167" s="705"/>
    </row>
    <row r="168" spans="1:14" s="8" customFormat="1" ht="13.5" hidden="1" thickBot="1" x14ac:dyDescent="0.25">
      <c r="A168" s="10" t="s">
        <v>123</v>
      </c>
      <c r="B168" s="5"/>
      <c r="C168" s="5" t="s">
        <v>36</v>
      </c>
      <c r="D168" s="5" t="s">
        <v>37</v>
      </c>
      <c r="E168" s="5" t="s">
        <v>213</v>
      </c>
      <c r="F168" s="5" t="s">
        <v>78</v>
      </c>
      <c r="G168" s="562">
        <f>G169</f>
        <v>469.86419999999998</v>
      </c>
      <c r="H168" s="562"/>
      <c r="I168" s="287">
        <f>I169</f>
        <v>0</v>
      </c>
      <c r="J168" s="682"/>
      <c r="K168" s="682"/>
      <c r="L168" s="682"/>
      <c r="M168" s="11">
        <f>M169</f>
        <v>0</v>
      </c>
      <c r="N168" s="705"/>
    </row>
    <row r="169" spans="1:14" s="8" customFormat="1" ht="13.5" hidden="1" thickBot="1" x14ac:dyDescent="0.25">
      <c r="A169" s="10" t="s">
        <v>79</v>
      </c>
      <c r="B169" s="5"/>
      <c r="C169" s="5" t="s">
        <v>36</v>
      </c>
      <c r="D169" s="5" t="s">
        <v>37</v>
      </c>
      <c r="E169" s="5" t="s">
        <v>213</v>
      </c>
      <c r="F169" s="5" t="s">
        <v>4</v>
      </c>
      <c r="G169" s="562">
        <f>469.8642</f>
        <v>469.86419999999998</v>
      </c>
      <c r="H169" s="562"/>
      <c r="I169" s="287">
        <v>0</v>
      </c>
      <c r="J169" s="682"/>
      <c r="K169" s="682"/>
      <c r="L169" s="682"/>
      <c r="M169" s="11">
        <v>0</v>
      </c>
      <c r="N169" s="705"/>
    </row>
    <row r="170" spans="1:14" s="276" customFormat="1" ht="14.25" thickBot="1" x14ac:dyDescent="0.25">
      <c r="A170" s="244" t="s">
        <v>129</v>
      </c>
      <c r="B170" s="245"/>
      <c r="C170" s="245" t="s">
        <v>57</v>
      </c>
      <c r="D170" s="245"/>
      <c r="E170" s="245"/>
      <c r="F170" s="245"/>
      <c r="G170" s="559">
        <f>G171+G181+G188</f>
        <v>106114.33915000001</v>
      </c>
      <c r="H170" s="716">
        <f>G170/G20</f>
        <v>0.2498326003440749</v>
      </c>
      <c r="I170" s="536">
        <f>I171+I181+I188</f>
        <v>55856.298962000001</v>
      </c>
      <c r="J170" s="718">
        <f>I170/I20</f>
        <v>0.18563904330537301</v>
      </c>
      <c r="K170" s="264">
        <f>M170</f>
        <v>55645.803044</v>
      </c>
      <c r="L170" s="718">
        <f>K170/K20</f>
        <v>0.17611397107453883</v>
      </c>
      <c r="M170" s="247">
        <f>M171+M181+M188</f>
        <v>55645.803044</v>
      </c>
      <c r="N170" s="702"/>
    </row>
    <row r="171" spans="1:14" s="276" customFormat="1" ht="14.25" hidden="1" thickBot="1" x14ac:dyDescent="0.25">
      <c r="A171" s="277" t="s">
        <v>110</v>
      </c>
      <c r="B171" s="268"/>
      <c r="C171" s="268" t="s">
        <v>57</v>
      </c>
      <c r="D171" s="268" t="s">
        <v>30</v>
      </c>
      <c r="E171" s="268"/>
      <c r="F171" s="268"/>
      <c r="G171" s="565">
        <f t="shared" ref="G171:M172" si="17">G172</f>
        <v>7655.4432800000004</v>
      </c>
      <c r="H171" s="565"/>
      <c r="I171" s="540">
        <f t="shared" si="17"/>
        <v>8463.7593619999989</v>
      </c>
      <c r="J171" s="684"/>
      <c r="K171" s="684"/>
      <c r="L171" s="684"/>
      <c r="M171" s="269">
        <f t="shared" si="17"/>
        <v>8753.2634440000002</v>
      </c>
      <c r="N171" s="702"/>
    </row>
    <row r="172" spans="1:14" s="276" customFormat="1" ht="39" hidden="1" thickBot="1" x14ac:dyDescent="0.25">
      <c r="A172" s="286" t="s">
        <v>401</v>
      </c>
      <c r="B172" s="272"/>
      <c r="C172" s="272" t="s">
        <v>57</v>
      </c>
      <c r="D172" s="272" t="s">
        <v>30</v>
      </c>
      <c r="E172" s="272" t="s">
        <v>94</v>
      </c>
      <c r="F172" s="272"/>
      <c r="G172" s="566">
        <f t="shared" si="17"/>
        <v>7655.4432800000004</v>
      </c>
      <c r="H172" s="566"/>
      <c r="I172" s="541">
        <f t="shared" si="17"/>
        <v>8463.7593619999989</v>
      </c>
      <c r="J172" s="685"/>
      <c r="K172" s="685"/>
      <c r="L172" s="685"/>
      <c r="M172" s="273">
        <f t="shared" si="17"/>
        <v>8753.2634440000002</v>
      </c>
      <c r="N172" s="703"/>
    </row>
    <row r="173" spans="1:14" s="276" customFormat="1" ht="13.5" hidden="1" thickBot="1" x14ac:dyDescent="0.25">
      <c r="A173" s="284" t="s">
        <v>13</v>
      </c>
      <c r="B173" s="112"/>
      <c r="C173" s="112" t="s">
        <v>57</v>
      </c>
      <c r="D173" s="112" t="s">
        <v>30</v>
      </c>
      <c r="E173" s="112" t="s">
        <v>95</v>
      </c>
      <c r="F173" s="112"/>
      <c r="G173" s="561">
        <f>SUM(G174)</f>
        <v>7655.4432800000004</v>
      </c>
      <c r="H173" s="561"/>
      <c r="I173" s="333">
        <f>SUM(I174)</f>
        <v>8463.7593619999989</v>
      </c>
      <c r="J173" s="681"/>
      <c r="K173" s="681"/>
      <c r="L173" s="681"/>
      <c r="M173" s="253">
        <f>SUM(M174)</f>
        <v>8753.2634440000002</v>
      </c>
      <c r="N173" s="704"/>
    </row>
    <row r="174" spans="1:14" s="276" customFormat="1" ht="13.5" hidden="1" thickBot="1" x14ac:dyDescent="0.25">
      <c r="A174" s="281" t="s">
        <v>13</v>
      </c>
      <c r="B174" s="5"/>
      <c r="C174" s="5" t="s">
        <v>57</v>
      </c>
      <c r="D174" s="5" t="s">
        <v>30</v>
      </c>
      <c r="E174" s="5" t="s">
        <v>96</v>
      </c>
      <c r="F174" s="5"/>
      <c r="G174" s="562">
        <f>SUM(G175+G178)</f>
        <v>7655.4432800000004</v>
      </c>
      <c r="H174" s="562"/>
      <c r="I174" s="287">
        <f>SUM(I175+I178)</f>
        <v>8463.7593619999989</v>
      </c>
      <c r="J174" s="682"/>
      <c r="K174" s="682"/>
      <c r="L174" s="682"/>
      <c r="M174" s="11">
        <f>SUM(M175+M178)</f>
        <v>8753.2634440000002</v>
      </c>
      <c r="N174" s="705"/>
    </row>
    <row r="175" spans="1:14" s="276" customFormat="1" ht="13.5" hidden="1" thickBot="1" x14ac:dyDescent="0.25">
      <c r="A175" s="9" t="s">
        <v>111</v>
      </c>
      <c r="B175" s="5"/>
      <c r="C175" s="5" t="s">
        <v>57</v>
      </c>
      <c r="D175" s="5" t="s">
        <v>30</v>
      </c>
      <c r="E175" s="5" t="s">
        <v>112</v>
      </c>
      <c r="F175" s="5"/>
      <c r="G175" s="562">
        <f t="shared" ref="G175:M176" si="18">G176</f>
        <v>470</v>
      </c>
      <c r="H175" s="562"/>
      <c r="I175" s="287">
        <f t="shared" si="18"/>
        <v>1098.68</v>
      </c>
      <c r="J175" s="682"/>
      <c r="K175" s="682"/>
      <c r="L175" s="682"/>
      <c r="M175" s="11">
        <f t="shared" si="18"/>
        <v>1208.548</v>
      </c>
      <c r="N175" s="705"/>
    </row>
    <row r="176" spans="1:14" s="276" customFormat="1" ht="26.25" hidden="1" thickBot="1" x14ac:dyDescent="0.25">
      <c r="A176" s="10" t="s">
        <v>31</v>
      </c>
      <c r="B176" s="5"/>
      <c r="C176" s="5" t="s">
        <v>57</v>
      </c>
      <c r="D176" s="5" t="s">
        <v>30</v>
      </c>
      <c r="E176" s="5" t="s">
        <v>112</v>
      </c>
      <c r="F176" s="5" t="s">
        <v>66</v>
      </c>
      <c r="G176" s="562">
        <f t="shared" si="18"/>
        <v>470</v>
      </c>
      <c r="H176" s="562"/>
      <c r="I176" s="287">
        <f t="shared" si="18"/>
        <v>1098.68</v>
      </c>
      <c r="J176" s="682"/>
      <c r="K176" s="682"/>
      <c r="L176" s="682"/>
      <c r="M176" s="11">
        <f t="shared" si="18"/>
        <v>1208.548</v>
      </c>
      <c r="N176" s="705"/>
    </row>
    <row r="177" spans="1:14" s="276" customFormat="1" ht="26.25" hidden="1" thickBot="1" x14ac:dyDescent="0.25">
      <c r="A177" s="10" t="s">
        <v>67</v>
      </c>
      <c r="B177" s="5"/>
      <c r="C177" s="5" t="s">
        <v>57</v>
      </c>
      <c r="D177" s="5" t="s">
        <v>30</v>
      </c>
      <c r="E177" s="5" t="s">
        <v>112</v>
      </c>
      <c r="F177" s="5" t="s">
        <v>68</v>
      </c>
      <c r="G177" s="562">
        <v>470</v>
      </c>
      <c r="H177" s="562"/>
      <c r="I177" s="287">
        <v>1098.68</v>
      </c>
      <c r="J177" s="682"/>
      <c r="K177" s="682"/>
      <c r="L177" s="682"/>
      <c r="M177" s="11">
        <v>1208.548</v>
      </c>
      <c r="N177" s="705"/>
    </row>
    <row r="178" spans="1:14" s="276" customFormat="1" ht="26.25" hidden="1" thickBot="1" x14ac:dyDescent="0.25">
      <c r="A178" s="9" t="s">
        <v>130</v>
      </c>
      <c r="B178" s="5"/>
      <c r="C178" s="5" t="s">
        <v>57</v>
      </c>
      <c r="D178" s="5" t="s">
        <v>30</v>
      </c>
      <c r="E178" s="5" t="s">
        <v>109</v>
      </c>
      <c r="F178" s="5"/>
      <c r="G178" s="562">
        <f>SUM(G180)</f>
        <v>7185.4432800000004</v>
      </c>
      <c r="H178" s="562"/>
      <c r="I178" s="287">
        <f>SUM(I180)</f>
        <v>7365.0793619999995</v>
      </c>
      <c r="J178" s="682"/>
      <c r="K178" s="682"/>
      <c r="L178" s="682"/>
      <c r="M178" s="11">
        <f>SUM(M180)</f>
        <v>7544.7154440000004</v>
      </c>
      <c r="N178" s="705"/>
    </row>
    <row r="179" spans="1:14" s="276" customFormat="1" ht="26.25" hidden="1" thickBot="1" x14ac:dyDescent="0.25">
      <c r="A179" s="10" t="s">
        <v>31</v>
      </c>
      <c r="B179" s="5"/>
      <c r="C179" s="5" t="s">
        <v>57</v>
      </c>
      <c r="D179" s="5" t="s">
        <v>30</v>
      </c>
      <c r="E179" s="5" t="s">
        <v>109</v>
      </c>
      <c r="F179" s="5" t="s">
        <v>66</v>
      </c>
      <c r="G179" s="562">
        <f>G180</f>
        <v>7185.4432800000004</v>
      </c>
      <c r="H179" s="562"/>
      <c r="I179" s="287">
        <f>I180</f>
        <v>7365.0793619999995</v>
      </c>
      <c r="J179" s="682"/>
      <c r="K179" s="682"/>
      <c r="L179" s="682"/>
      <c r="M179" s="11">
        <f>M180</f>
        <v>7544.7154440000004</v>
      </c>
      <c r="N179" s="705"/>
    </row>
    <row r="180" spans="1:14" s="276" customFormat="1" ht="26.25" hidden="1" thickBot="1" x14ac:dyDescent="0.25">
      <c r="A180" s="10" t="s">
        <v>67</v>
      </c>
      <c r="B180" s="5"/>
      <c r="C180" s="5" t="s">
        <v>57</v>
      </c>
      <c r="D180" s="5" t="s">
        <v>30</v>
      </c>
      <c r="E180" s="5" t="s">
        <v>109</v>
      </c>
      <c r="F180" s="5" t="s">
        <v>68</v>
      </c>
      <c r="G180" s="562">
        <v>7185.4432800000004</v>
      </c>
      <c r="H180" s="562"/>
      <c r="I180" s="287">
        <f>G180*1.025</f>
        <v>7365.0793619999995</v>
      </c>
      <c r="J180" s="682"/>
      <c r="K180" s="682"/>
      <c r="L180" s="682"/>
      <c r="M180" s="11">
        <f>G180*1.05</f>
        <v>7544.7154440000004</v>
      </c>
      <c r="N180" s="705"/>
    </row>
    <row r="181" spans="1:14" s="276" customFormat="1" ht="14.25" hidden="1" thickBot="1" x14ac:dyDescent="0.25">
      <c r="A181" s="244" t="s">
        <v>56</v>
      </c>
      <c r="B181" s="245"/>
      <c r="C181" s="245" t="s">
        <v>57</v>
      </c>
      <c r="D181" s="245" t="s">
        <v>58</v>
      </c>
      <c r="E181" s="245"/>
      <c r="F181" s="245"/>
      <c r="G181" s="559">
        <f t="shared" ref="G181:M186" si="19">G182</f>
        <v>500</v>
      </c>
      <c r="H181" s="559"/>
      <c r="I181" s="536">
        <f t="shared" si="19"/>
        <v>394.01600000000002</v>
      </c>
      <c r="J181" s="679"/>
      <c r="K181" s="679"/>
      <c r="L181" s="679"/>
      <c r="M181" s="247">
        <f t="shared" si="19"/>
        <v>394.01600000000002</v>
      </c>
      <c r="N181" s="702"/>
    </row>
    <row r="182" spans="1:14" s="276" customFormat="1" ht="39" hidden="1" thickBot="1" x14ac:dyDescent="0.25">
      <c r="A182" s="217" t="s">
        <v>396</v>
      </c>
      <c r="B182" s="254"/>
      <c r="C182" s="254" t="s">
        <v>57</v>
      </c>
      <c r="D182" s="254" t="s">
        <v>58</v>
      </c>
      <c r="E182" s="254" t="s">
        <v>55</v>
      </c>
      <c r="F182" s="254"/>
      <c r="G182" s="567">
        <f t="shared" si="19"/>
        <v>500</v>
      </c>
      <c r="H182" s="567"/>
      <c r="I182" s="296">
        <f t="shared" si="19"/>
        <v>394.01600000000002</v>
      </c>
      <c r="J182" s="686"/>
      <c r="K182" s="686"/>
      <c r="L182" s="686"/>
      <c r="M182" s="258">
        <f t="shared" si="19"/>
        <v>394.01600000000002</v>
      </c>
      <c r="N182" s="703"/>
    </row>
    <row r="183" spans="1:14" s="276" customFormat="1" ht="14.25" hidden="1" thickBot="1" x14ac:dyDescent="0.25">
      <c r="A183" s="89" t="s">
        <v>232</v>
      </c>
      <c r="B183" s="194"/>
      <c r="C183" s="112" t="s">
        <v>57</v>
      </c>
      <c r="D183" s="112" t="s">
        <v>58</v>
      </c>
      <c r="E183" s="112" t="s">
        <v>260</v>
      </c>
      <c r="F183" s="194"/>
      <c r="G183" s="561">
        <f t="shared" si="19"/>
        <v>500</v>
      </c>
      <c r="H183" s="561"/>
      <c r="I183" s="333">
        <f t="shared" si="19"/>
        <v>394.01600000000002</v>
      </c>
      <c r="J183" s="681"/>
      <c r="K183" s="681"/>
      <c r="L183" s="681"/>
      <c r="M183" s="253">
        <f t="shared" si="19"/>
        <v>394.01600000000002</v>
      </c>
      <c r="N183" s="704"/>
    </row>
    <row r="184" spans="1:14" s="276" customFormat="1" ht="13.5" hidden="1" thickBot="1" x14ac:dyDescent="0.25">
      <c r="A184" s="9" t="s">
        <v>258</v>
      </c>
      <c r="B184" s="5"/>
      <c r="C184" s="5" t="s">
        <v>57</v>
      </c>
      <c r="D184" s="5" t="s">
        <v>58</v>
      </c>
      <c r="E184" s="5" t="s">
        <v>259</v>
      </c>
      <c r="F184" s="5"/>
      <c r="G184" s="562">
        <f t="shared" si="19"/>
        <v>500</v>
      </c>
      <c r="H184" s="562"/>
      <c r="I184" s="287">
        <f t="shared" si="19"/>
        <v>394.01600000000002</v>
      </c>
      <c r="J184" s="682"/>
      <c r="K184" s="682"/>
      <c r="L184" s="682"/>
      <c r="M184" s="11">
        <f t="shared" si="19"/>
        <v>394.01600000000002</v>
      </c>
      <c r="N184" s="705"/>
    </row>
    <row r="185" spans="1:14" s="276" customFormat="1" ht="13.5" hidden="1" thickBot="1" x14ac:dyDescent="0.25">
      <c r="A185" s="9" t="s">
        <v>59</v>
      </c>
      <c r="B185" s="5"/>
      <c r="C185" s="5" t="s">
        <v>57</v>
      </c>
      <c r="D185" s="5" t="s">
        <v>58</v>
      </c>
      <c r="E185" s="5" t="s">
        <v>261</v>
      </c>
      <c r="F185" s="5"/>
      <c r="G185" s="562">
        <f t="shared" si="19"/>
        <v>500</v>
      </c>
      <c r="H185" s="562"/>
      <c r="I185" s="287">
        <f t="shared" si="19"/>
        <v>394.01600000000002</v>
      </c>
      <c r="J185" s="682"/>
      <c r="K185" s="682"/>
      <c r="L185" s="682"/>
      <c r="M185" s="11">
        <f t="shared" si="19"/>
        <v>394.01600000000002</v>
      </c>
      <c r="N185" s="705"/>
    </row>
    <row r="186" spans="1:14" s="276" customFormat="1" ht="26.25" hidden="1" thickBot="1" x14ac:dyDescent="0.25">
      <c r="A186" s="10" t="s">
        <v>31</v>
      </c>
      <c r="B186" s="5"/>
      <c r="C186" s="5" t="s">
        <v>57</v>
      </c>
      <c r="D186" s="5" t="s">
        <v>58</v>
      </c>
      <c r="E186" s="5" t="s">
        <v>261</v>
      </c>
      <c r="F186" s="5" t="s">
        <v>66</v>
      </c>
      <c r="G186" s="562">
        <f t="shared" si="19"/>
        <v>500</v>
      </c>
      <c r="H186" s="562"/>
      <c r="I186" s="287">
        <f t="shared" si="19"/>
        <v>394.01600000000002</v>
      </c>
      <c r="J186" s="682"/>
      <c r="K186" s="682"/>
      <c r="L186" s="682"/>
      <c r="M186" s="11">
        <f t="shared" si="19"/>
        <v>394.01600000000002</v>
      </c>
      <c r="N186" s="705"/>
    </row>
    <row r="187" spans="1:14" s="276" customFormat="1" ht="26.25" hidden="1" thickBot="1" x14ac:dyDescent="0.25">
      <c r="A187" s="10" t="s">
        <v>67</v>
      </c>
      <c r="B187" s="5"/>
      <c r="C187" s="5" t="s">
        <v>57</v>
      </c>
      <c r="D187" s="5" t="s">
        <v>58</v>
      </c>
      <c r="E187" s="5" t="s">
        <v>261</v>
      </c>
      <c r="F187" s="5" t="s">
        <v>68</v>
      </c>
      <c r="G187" s="562">
        <v>500</v>
      </c>
      <c r="H187" s="562"/>
      <c r="I187" s="287">
        <v>394.01600000000002</v>
      </c>
      <c r="J187" s="682"/>
      <c r="K187" s="682"/>
      <c r="L187" s="682"/>
      <c r="M187" s="11">
        <v>394.01600000000002</v>
      </c>
      <c r="N187" s="705"/>
    </row>
    <row r="188" spans="1:14" s="276" customFormat="1" ht="14.25" hidden="1" thickBot="1" x14ac:dyDescent="0.25">
      <c r="A188" s="244" t="s">
        <v>61</v>
      </c>
      <c r="B188" s="245"/>
      <c r="C188" s="245" t="s">
        <v>57</v>
      </c>
      <c r="D188" s="245" t="s">
        <v>40</v>
      </c>
      <c r="E188" s="245"/>
      <c r="F188" s="261"/>
      <c r="G188" s="559">
        <f>G189+G202+G208+G214+G225+G231</f>
        <v>97958.895870000008</v>
      </c>
      <c r="H188" s="559"/>
      <c r="I188" s="536">
        <f>I189+I202+I208+I214+I225+I231</f>
        <v>46998.5236</v>
      </c>
      <c r="J188" s="679"/>
      <c r="K188" s="679"/>
      <c r="L188" s="679"/>
      <c r="M188" s="247">
        <f>M189+M202+M208+M214+M225+M231</f>
        <v>46498.5236</v>
      </c>
      <c r="N188" s="702"/>
    </row>
    <row r="189" spans="1:14" s="276" customFormat="1" ht="39" hidden="1" thickBot="1" x14ac:dyDescent="0.25">
      <c r="A189" s="217" t="s">
        <v>394</v>
      </c>
      <c r="B189" s="254"/>
      <c r="C189" s="254" t="s">
        <v>57</v>
      </c>
      <c r="D189" s="254" t="s">
        <v>40</v>
      </c>
      <c r="E189" s="254" t="s">
        <v>60</v>
      </c>
      <c r="F189" s="254"/>
      <c r="G189" s="567">
        <f>G190</f>
        <v>72973.849250000014</v>
      </c>
      <c r="H189" s="567"/>
      <c r="I189" s="296">
        <f>I190</f>
        <v>45218.5236</v>
      </c>
      <c r="J189" s="686"/>
      <c r="K189" s="686"/>
      <c r="L189" s="686"/>
      <c r="M189" s="258">
        <f>M190</f>
        <v>45218.5236</v>
      </c>
      <c r="N189" s="703"/>
    </row>
    <row r="190" spans="1:14" s="276" customFormat="1" ht="13.5" hidden="1" thickBot="1" x14ac:dyDescent="0.25">
      <c r="A190" s="89" t="s">
        <v>232</v>
      </c>
      <c r="B190" s="112"/>
      <c r="C190" s="112" t="s">
        <v>57</v>
      </c>
      <c r="D190" s="112" t="s">
        <v>40</v>
      </c>
      <c r="E190" s="112" t="s">
        <v>262</v>
      </c>
      <c r="F190" s="112"/>
      <c r="G190" s="561">
        <f>G191+G198</f>
        <v>72973.849250000014</v>
      </c>
      <c r="H190" s="561"/>
      <c r="I190" s="333">
        <f>I191+I198</f>
        <v>45218.5236</v>
      </c>
      <c r="J190" s="681"/>
      <c r="K190" s="681"/>
      <c r="L190" s="681"/>
      <c r="M190" s="253">
        <f>M191+M198</f>
        <v>45218.5236</v>
      </c>
      <c r="N190" s="704"/>
    </row>
    <row r="191" spans="1:14" s="8" customFormat="1" ht="39" hidden="1" thickBot="1" x14ac:dyDescent="0.25">
      <c r="A191" s="9" t="s">
        <v>263</v>
      </c>
      <c r="B191" s="5"/>
      <c r="C191" s="5" t="s">
        <v>57</v>
      </c>
      <c r="D191" s="5" t="s">
        <v>40</v>
      </c>
      <c r="E191" s="5" t="s">
        <v>264</v>
      </c>
      <c r="F191" s="5"/>
      <c r="G191" s="562">
        <f>G192+G195</f>
        <v>70633.849250000014</v>
      </c>
      <c r="H191" s="562"/>
      <c r="I191" s="287">
        <f>I192+I195</f>
        <v>44218.5236</v>
      </c>
      <c r="J191" s="682"/>
      <c r="K191" s="682"/>
      <c r="L191" s="682"/>
      <c r="M191" s="11">
        <f>M192+M195</f>
        <v>44218.5236</v>
      </c>
      <c r="N191" s="705"/>
    </row>
    <row r="192" spans="1:14" s="8" customFormat="1" ht="39" hidden="1" thickBot="1" x14ac:dyDescent="0.25">
      <c r="A192" s="9" t="s">
        <v>378</v>
      </c>
      <c r="B192" s="5"/>
      <c r="C192" s="5" t="s">
        <v>57</v>
      </c>
      <c r="D192" s="5" t="s">
        <v>40</v>
      </c>
      <c r="E192" s="5" t="s">
        <v>265</v>
      </c>
      <c r="F192" s="5"/>
      <c r="G192" s="562">
        <f t="shared" ref="G192:M193" si="20">G193</f>
        <v>68739.93925000001</v>
      </c>
      <c r="H192" s="562"/>
      <c r="I192" s="287">
        <f t="shared" si="20"/>
        <v>44218.5236</v>
      </c>
      <c r="J192" s="682"/>
      <c r="K192" s="682"/>
      <c r="L192" s="682"/>
      <c r="M192" s="11">
        <f t="shared" si="20"/>
        <v>44218.5236</v>
      </c>
      <c r="N192" s="705"/>
    </row>
    <row r="193" spans="1:14" s="276" customFormat="1" ht="26.25" hidden="1" thickBot="1" x14ac:dyDescent="0.25">
      <c r="A193" s="10" t="s">
        <v>31</v>
      </c>
      <c r="B193" s="5"/>
      <c r="C193" s="5" t="s">
        <v>57</v>
      </c>
      <c r="D193" s="5" t="s">
        <v>40</v>
      </c>
      <c r="E193" s="5" t="s">
        <v>265</v>
      </c>
      <c r="F193" s="5" t="s">
        <v>66</v>
      </c>
      <c r="G193" s="562">
        <f t="shared" si="20"/>
        <v>68739.93925000001</v>
      </c>
      <c r="H193" s="562"/>
      <c r="I193" s="287">
        <f t="shared" si="20"/>
        <v>44218.5236</v>
      </c>
      <c r="J193" s="682"/>
      <c r="K193" s="682"/>
      <c r="L193" s="682"/>
      <c r="M193" s="11">
        <f t="shared" si="20"/>
        <v>44218.5236</v>
      </c>
      <c r="N193" s="705"/>
    </row>
    <row r="194" spans="1:14" s="276" customFormat="1" ht="26.25" hidden="1" thickBot="1" x14ac:dyDescent="0.25">
      <c r="A194" s="10" t="s">
        <v>67</v>
      </c>
      <c r="B194" s="5"/>
      <c r="C194" s="5" t="s">
        <v>57</v>
      </c>
      <c r="D194" s="5" t="s">
        <v>40</v>
      </c>
      <c r="E194" s="5" t="s">
        <v>265</v>
      </c>
      <c r="F194" s="5" t="s">
        <v>68</v>
      </c>
      <c r="G194" s="573">
        <f>66472.13959+118.91034+2148.88932</f>
        <v>68739.93925000001</v>
      </c>
      <c r="H194" s="573"/>
      <c r="I194" s="287">
        <f>44218.5236</f>
        <v>44218.5236</v>
      </c>
      <c r="J194" s="682"/>
      <c r="K194" s="682"/>
      <c r="L194" s="682"/>
      <c r="M194" s="11">
        <v>44218.5236</v>
      </c>
      <c r="N194" s="705"/>
    </row>
    <row r="195" spans="1:14" s="276" customFormat="1" ht="39" hidden="1" thickBot="1" x14ac:dyDescent="0.25">
      <c r="A195" s="9" t="s">
        <v>266</v>
      </c>
      <c r="B195" s="288"/>
      <c r="C195" s="5" t="s">
        <v>57</v>
      </c>
      <c r="D195" s="5" t="s">
        <v>40</v>
      </c>
      <c r="E195" s="4" t="s">
        <v>267</v>
      </c>
      <c r="F195" s="4"/>
      <c r="G195" s="562">
        <f>SUM(G197)</f>
        <v>1893.91</v>
      </c>
      <c r="H195" s="562"/>
      <c r="I195" s="287">
        <f>SUM(I197)</f>
        <v>0</v>
      </c>
      <c r="J195" s="682"/>
      <c r="K195" s="682"/>
      <c r="L195" s="682"/>
      <c r="M195" s="11">
        <f>SUM(M197)</f>
        <v>0</v>
      </c>
      <c r="N195" s="705"/>
    </row>
    <row r="196" spans="1:14" s="276" customFormat="1" ht="26.25" hidden="1" thickBot="1" x14ac:dyDescent="0.25">
      <c r="A196" s="10" t="s">
        <v>31</v>
      </c>
      <c r="B196" s="288"/>
      <c r="C196" s="5" t="s">
        <v>57</v>
      </c>
      <c r="D196" s="5" t="s">
        <v>40</v>
      </c>
      <c r="E196" s="4" t="s">
        <v>267</v>
      </c>
      <c r="F196" s="4">
        <v>200</v>
      </c>
      <c r="G196" s="562">
        <f>G197</f>
        <v>1893.91</v>
      </c>
      <c r="H196" s="562"/>
      <c r="I196" s="287">
        <f>I197</f>
        <v>0</v>
      </c>
      <c r="J196" s="682"/>
      <c r="K196" s="682"/>
      <c r="L196" s="682"/>
      <c r="M196" s="11">
        <f>M197</f>
        <v>0</v>
      </c>
      <c r="N196" s="705"/>
    </row>
    <row r="197" spans="1:14" s="276" customFormat="1" ht="26.25" hidden="1" thickBot="1" x14ac:dyDescent="0.25">
      <c r="A197" s="10" t="s">
        <v>67</v>
      </c>
      <c r="B197" s="288"/>
      <c r="C197" s="5" t="s">
        <v>57</v>
      </c>
      <c r="D197" s="5" t="s">
        <v>40</v>
      </c>
      <c r="E197" s="4" t="s">
        <v>267</v>
      </c>
      <c r="F197" s="4">
        <v>240</v>
      </c>
      <c r="G197" s="562">
        <v>1893.91</v>
      </c>
      <c r="H197" s="562"/>
      <c r="I197" s="287">
        <v>0</v>
      </c>
      <c r="J197" s="682"/>
      <c r="K197" s="682"/>
      <c r="L197" s="682"/>
      <c r="M197" s="11">
        <v>0</v>
      </c>
      <c r="N197" s="705"/>
    </row>
    <row r="198" spans="1:14" s="276" customFormat="1" ht="26.25" hidden="1" thickBot="1" x14ac:dyDescent="0.25">
      <c r="A198" s="9" t="s">
        <v>268</v>
      </c>
      <c r="B198" s="288"/>
      <c r="C198" s="5" t="s">
        <v>57</v>
      </c>
      <c r="D198" s="5" t="s">
        <v>40</v>
      </c>
      <c r="E198" s="5" t="s">
        <v>270</v>
      </c>
      <c r="F198" s="4"/>
      <c r="G198" s="562">
        <f t="shared" ref="G198:M200" si="21">G199</f>
        <v>2340</v>
      </c>
      <c r="H198" s="562"/>
      <c r="I198" s="287">
        <f t="shared" si="21"/>
        <v>1000</v>
      </c>
      <c r="J198" s="682"/>
      <c r="K198" s="682"/>
      <c r="L198" s="682"/>
      <c r="M198" s="11">
        <f t="shared" si="21"/>
        <v>1000</v>
      </c>
      <c r="N198" s="705"/>
    </row>
    <row r="199" spans="1:14" s="276" customFormat="1" ht="13.5" hidden="1" thickBot="1" x14ac:dyDescent="0.25">
      <c r="A199" s="9" t="s">
        <v>269</v>
      </c>
      <c r="B199" s="288"/>
      <c r="C199" s="5" t="s">
        <v>57</v>
      </c>
      <c r="D199" s="5" t="s">
        <v>40</v>
      </c>
      <c r="E199" s="5" t="s">
        <v>271</v>
      </c>
      <c r="F199" s="4"/>
      <c r="G199" s="562">
        <f t="shared" si="21"/>
        <v>2340</v>
      </c>
      <c r="H199" s="562"/>
      <c r="I199" s="287">
        <f t="shared" si="21"/>
        <v>1000</v>
      </c>
      <c r="J199" s="682"/>
      <c r="K199" s="682"/>
      <c r="L199" s="682"/>
      <c r="M199" s="11">
        <f t="shared" si="21"/>
        <v>1000</v>
      </c>
      <c r="N199" s="705"/>
    </row>
    <row r="200" spans="1:14" s="276" customFormat="1" ht="26.25" hidden="1" thickBot="1" x14ac:dyDescent="0.25">
      <c r="A200" s="10" t="s">
        <v>31</v>
      </c>
      <c r="B200" s="288"/>
      <c r="C200" s="5" t="s">
        <v>57</v>
      </c>
      <c r="D200" s="5" t="s">
        <v>40</v>
      </c>
      <c r="E200" s="5" t="s">
        <v>271</v>
      </c>
      <c r="F200" s="4">
        <v>200</v>
      </c>
      <c r="G200" s="562">
        <f t="shared" si="21"/>
        <v>2340</v>
      </c>
      <c r="H200" s="562"/>
      <c r="I200" s="287">
        <f t="shared" si="21"/>
        <v>1000</v>
      </c>
      <c r="J200" s="682"/>
      <c r="K200" s="682"/>
      <c r="L200" s="682"/>
      <c r="M200" s="11">
        <f t="shared" si="21"/>
        <v>1000</v>
      </c>
      <c r="N200" s="705"/>
    </row>
    <row r="201" spans="1:14" s="276" customFormat="1" ht="26.25" hidden="1" thickBot="1" x14ac:dyDescent="0.25">
      <c r="A201" s="10" t="s">
        <v>67</v>
      </c>
      <c r="B201" s="288"/>
      <c r="C201" s="5" t="s">
        <v>57</v>
      </c>
      <c r="D201" s="5" t="s">
        <v>40</v>
      </c>
      <c r="E201" s="5" t="s">
        <v>271</v>
      </c>
      <c r="F201" s="4">
        <v>240</v>
      </c>
      <c r="G201" s="562">
        <v>2340</v>
      </c>
      <c r="H201" s="562"/>
      <c r="I201" s="287">
        <v>1000</v>
      </c>
      <c r="J201" s="682"/>
      <c r="K201" s="682"/>
      <c r="L201" s="682"/>
      <c r="M201" s="11">
        <v>1000</v>
      </c>
      <c r="N201" s="705"/>
    </row>
    <row r="202" spans="1:14" s="276" customFormat="1" ht="23.25" hidden="1" customHeight="1" x14ac:dyDescent="0.2">
      <c r="A202" s="217" t="s">
        <v>397</v>
      </c>
      <c r="B202" s="194"/>
      <c r="C202" s="254" t="s">
        <v>57</v>
      </c>
      <c r="D202" s="254" t="s">
        <v>40</v>
      </c>
      <c r="E202" s="254" t="s">
        <v>62</v>
      </c>
      <c r="F202" s="112"/>
      <c r="G202" s="567">
        <f>G203</f>
        <v>100</v>
      </c>
      <c r="H202" s="567"/>
      <c r="I202" s="296">
        <f>I203</f>
        <v>100</v>
      </c>
      <c r="J202" s="686"/>
      <c r="K202" s="686"/>
      <c r="L202" s="686"/>
      <c r="M202" s="258">
        <f>M203</f>
        <v>100</v>
      </c>
      <c r="N202" s="703"/>
    </row>
    <row r="203" spans="1:14" s="276" customFormat="1" ht="13.5" hidden="1" thickBot="1" x14ac:dyDescent="0.25">
      <c r="A203" s="89" t="s">
        <v>232</v>
      </c>
      <c r="B203" s="112"/>
      <c r="C203" s="112" t="s">
        <v>57</v>
      </c>
      <c r="D203" s="112" t="s">
        <v>40</v>
      </c>
      <c r="E203" s="112" t="s">
        <v>272</v>
      </c>
      <c r="F203" s="112"/>
      <c r="G203" s="561">
        <f>SUM(G204)</f>
        <v>100</v>
      </c>
      <c r="H203" s="561"/>
      <c r="I203" s="333">
        <f>SUM(I204)</f>
        <v>100</v>
      </c>
      <c r="J203" s="681"/>
      <c r="K203" s="681"/>
      <c r="L203" s="681"/>
      <c r="M203" s="253">
        <f>SUM(M204)</f>
        <v>100</v>
      </c>
      <c r="N203" s="704"/>
    </row>
    <row r="204" spans="1:14" s="276" customFormat="1" ht="38.25" hidden="1" customHeight="1" x14ac:dyDescent="0.2">
      <c r="A204" s="9" t="s">
        <v>380</v>
      </c>
      <c r="B204" s="194"/>
      <c r="C204" s="5" t="s">
        <v>57</v>
      </c>
      <c r="D204" s="5" t="s">
        <v>40</v>
      </c>
      <c r="E204" s="5" t="s">
        <v>273</v>
      </c>
      <c r="F204" s="112"/>
      <c r="G204" s="562">
        <f>G207</f>
        <v>100</v>
      </c>
      <c r="H204" s="562"/>
      <c r="I204" s="287">
        <f>I207</f>
        <v>100</v>
      </c>
      <c r="J204" s="682"/>
      <c r="K204" s="682"/>
      <c r="L204" s="682"/>
      <c r="M204" s="11">
        <f>M207</f>
        <v>100</v>
      </c>
      <c r="N204" s="705"/>
    </row>
    <row r="205" spans="1:14" s="276" customFormat="1" ht="26.25" hidden="1" thickBot="1" x14ac:dyDescent="0.25">
      <c r="A205" s="9" t="s">
        <v>63</v>
      </c>
      <c r="B205" s="194"/>
      <c r="C205" s="5" t="s">
        <v>57</v>
      </c>
      <c r="D205" s="5" t="s">
        <v>40</v>
      </c>
      <c r="E205" s="5" t="s">
        <v>274</v>
      </c>
      <c r="F205" s="112"/>
      <c r="G205" s="562">
        <f t="shared" ref="G205:M206" si="22">G206</f>
        <v>100</v>
      </c>
      <c r="H205" s="562"/>
      <c r="I205" s="287">
        <f t="shared" si="22"/>
        <v>100</v>
      </c>
      <c r="J205" s="682"/>
      <c r="K205" s="682"/>
      <c r="L205" s="682"/>
      <c r="M205" s="11">
        <f t="shared" si="22"/>
        <v>100</v>
      </c>
      <c r="N205" s="705"/>
    </row>
    <row r="206" spans="1:14" s="276" customFormat="1" ht="26.25" hidden="1" thickBot="1" x14ac:dyDescent="0.25">
      <c r="A206" s="10" t="s">
        <v>31</v>
      </c>
      <c r="B206" s="194"/>
      <c r="C206" s="5" t="s">
        <v>57</v>
      </c>
      <c r="D206" s="5" t="s">
        <v>40</v>
      </c>
      <c r="E206" s="5" t="s">
        <v>274</v>
      </c>
      <c r="F206" s="5" t="s">
        <v>66</v>
      </c>
      <c r="G206" s="562">
        <f t="shared" si="22"/>
        <v>100</v>
      </c>
      <c r="H206" s="562"/>
      <c r="I206" s="287">
        <f t="shared" si="22"/>
        <v>100</v>
      </c>
      <c r="J206" s="682"/>
      <c r="K206" s="682"/>
      <c r="L206" s="682"/>
      <c r="M206" s="11">
        <f t="shared" si="22"/>
        <v>100</v>
      </c>
      <c r="N206" s="705"/>
    </row>
    <row r="207" spans="1:14" s="276" customFormat="1" ht="26.25" hidden="1" thickBot="1" x14ac:dyDescent="0.25">
      <c r="A207" s="10" t="s">
        <v>67</v>
      </c>
      <c r="B207" s="194"/>
      <c r="C207" s="5" t="s">
        <v>57</v>
      </c>
      <c r="D207" s="5" t="s">
        <v>40</v>
      </c>
      <c r="E207" s="5" t="s">
        <v>274</v>
      </c>
      <c r="F207" s="5" t="s">
        <v>68</v>
      </c>
      <c r="G207" s="562">
        <v>100</v>
      </c>
      <c r="H207" s="562"/>
      <c r="I207" s="287">
        <v>100</v>
      </c>
      <c r="J207" s="682"/>
      <c r="K207" s="682"/>
      <c r="L207" s="682"/>
      <c r="M207" s="11">
        <v>100</v>
      </c>
      <c r="N207" s="705"/>
    </row>
    <row r="208" spans="1:14" s="276" customFormat="1" ht="64.5" hidden="1" thickBot="1" x14ac:dyDescent="0.25">
      <c r="A208" s="289" t="s">
        <v>381</v>
      </c>
      <c r="B208" s="194"/>
      <c r="C208" s="254" t="s">
        <v>57</v>
      </c>
      <c r="D208" s="254" t="s">
        <v>40</v>
      </c>
      <c r="E208" s="290" t="s">
        <v>333</v>
      </c>
      <c r="F208" s="5"/>
      <c r="G208" s="567">
        <f t="shared" ref="G208:M209" si="23">G209</f>
        <v>1700</v>
      </c>
      <c r="H208" s="567"/>
      <c r="I208" s="296">
        <f t="shared" si="23"/>
        <v>80</v>
      </c>
      <c r="J208" s="686"/>
      <c r="K208" s="686"/>
      <c r="L208" s="686"/>
      <c r="M208" s="258">
        <f t="shared" si="23"/>
        <v>80</v>
      </c>
      <c r="N208" s="703"/>
    </row>
    <row r="209" spans="1:14" s="276" customFormat="1" ht="13.5" hidden="1" thickBot="1" x14ac:dyDescent="0.25">
      <c r="A209" s="89" t="s">
        <v>232</v>
      </c>
      <c r="B209" s="112"/>
      <c r="C209" s="112" t="s">
        <v>57</v>
      </c>
      <c r="D209" s="112" t="s">
        <v>40</v>
      </c>
      <c r="E209" s="112" t="s">
        <v>275</v>
      </c>
      <c r="F209" s="112"/>
      <c r="G209" s="561">
        <f t="shared" si="23"/>
        <v>1700</v>
      </c>
      <c r="H209" s="561"/>
      <c r="I209" s="333">
        <f t="shared" si="23"/>
        <v>80</v>
      </c>
      <c r="J209" s="681"/>
      <c r="K209" s="681"/>
      <c r="L209" s="681"/>
      <c r="M209" s="253">
        <f t="shared" si="23"/>
        <v>80</v>
      </c>
      <c r="N209" s="704"/>
    </row>
    <row r="210" spans="1:14" s="276" customFormat="1" ht="26.25" hidden="1" thickBot="1" x14ac:dyDescent="0.25">
      <c r="A210" s="9" t="s">
        <v>268</v>
      </c>
      <c r="B210" s="5"/>
      <c r="C210" s="5" t="s">
        <v>57</v>
      </c>
      <c r="D210" s="5" t="s">
        <v>40</v>
      </c>
      <c r="E210" s="5" t="s">
        <v>276</v>
      </c>
      <c r="F210" s="5"/>
      <c r="G210" s="562">
        <f>G212</f>
        <v>1700</v>
      </c>
      <c r="H210" s="562"/>
      <c r="I210" s="287">
        <f>I212</f>
        <v>80</v>
      </c>
      <c r="J210" s="682"/>
      <c r="K210" s="682"/>
      <c r="L210" s="682"/>
      <c r="M210" s="11">
        <f>M212</f>
        <v>80</v>
      </c>
      <c r="N210" s="705"/>
    </row>
    <row r="211" spans="1:14" s="276" customFormat="1" ht="12" hidden="1" customHeight="1" x14ac:dyDescent="0.2">
      <c r="A211" s="9" t="s">
        <v>277</v>
      </c>
      <c r="B211" s="5"/>
      <c r="C211" s="5" t="s">
        <v>57</v>
      </c>
      <c r="D211" s="5" t="s">
        <v>40</v>
      </c>
      <c r="E211" s="5" t="s">
        <v>278</v>
      </c>
      <c r="F211" s="5"/>
      <c r="G211" s="562">
        <f t="shared" ref="G211:M212" si="24">G212</f>
        <v>1700</v>
      </c>
      <c r="H211" s="562"/>
      <c r="I211" s="287">
        <f t="shared" si="24"/>
        <v>80</v>
      </c>
      <c r="J211" s="682"/>
      <c r="K211" s="682"/>
      <c r="L211" s="682"/>
      <c r="M211" s="11">
        <f t="shared" si="24"/>
        <v>80</v>
      </c>
      <c r="N211" s="705"/>
    </row>
    <row r="212" spans="1:14" s="276" customFormat="1" ht="26.25" hidden="1" thickBot="1" x14ac:dyDescent="0.25">
      <c r="A212" s="354" t="s">
        <v>31</v>
      </c>
      <c r="B212" s="194"/>
      <c r="C212" s="5" t="s">
        <v>57</v>
      </c>
      <c r="D212" s="5" t="s">
        <v>40</v>
      </c>
      <c r="E212" s="5" t="s">
        <v>278</v>
      </c>
      <c r="F212" s="5" t="s">
        <v>66</v>
      </c>
      <c r="G212" s="562">
        <f t="shared" si="24"/>
        <v>1700</v>
      </c>
      <c r="H212" s="562"/>
      <c r="I212" s="287">
        <f t="shared" si="24"/>
        <v>80</v>
      </c>
      <c r="J212" s="682"/>
      <c r="K212" s="682"/>
      <c r="L212" s="682"/>
      <c r="M212" s="11">
        <f t="shared" si="24"/>
        <v>80</v>
      </c>
      <c r="N212" s="705"/>
    </row>
    <row r="213" spans="1:14" s="276" customFormat="1" ht="26.25" hidden="1" thickBot="1" x14ac:dyDescent="0.25">
      <c r="A213" s="355" t="s">
        <v>67</v>
      </c>
      <c r="B213" s="291"/>
      <c r="C213" s="7" t="s">
        <v>57</v>
      </c>
      <c r="D213" s="7" t="s">
        <v>40</v>
      </c>
      <c r="E213" s="7" t="s">
        <v>278</v>
      </c>
      <c r="F213" s="7" t="s">
        <v>68</v>
      </c>
      <c r="G213" s="573">
        <v>1700</v>
      </c>
      <c r="H213" s="573"/>
      <c r="I213" s="287">
        <v>80</v>
      </c>
      <c r="J213" s="682"/>
      <c r="K213" s="682"/>
      <c r="L213" s="682"/>
      <c r="M213" s="292">
        <v>80</v>
      </c>
      <c r="N213" s="706"/>
    </row>
    <row r="214" spans="1:14" s="276" customFormat="1" ht="39" hidden="1" thickBot="1" x14ac:dyDescent="0.25">
      <c r="A214" s="293" t="s">
        <v>382</v>
      </c>
      <c r="B214" s="291"/>
      <c r="C214" s="294" t="s">
        <v>57</v>
      </c>
      <c r="D214" s="294" t="s">
        <v>40</v>
      </c>
      <c r="E214" s="295" t="s">
        <v>334</v>
      </c>
      <c r="F214" s="7"/>
      <c r="G214" s="574">
        <f>G220+G215</f>
        <v>100</v>
      </c>
      <c r="H214" s="574"/>
      <c r="I214" s="296">
        <f>I220+I215</f>
        <v>100</v>
      </c>
      <c r="J214" s="686"/>
      <c r="K214" s="686"/>
      <c r="L214" s="686"/>
      <c r="M214" s="297">
        <f>M220+M215</f>
        <v>100</v>
      </c>
      <c r="N214" s="707"/>
    </row>
    <row r="215" spans="1:14" s="276" customFormat="1" ht="13.5" hidden="1" thickBot="1" x14ac:dyDescent="0.25">
      <c r="A215" s="299" t="s">
        <v>232</v>
      </c>
      <c r="B215" s="332"/>
      <c r="C215" s="126" t="s">
        <v>57</v>
      </c>
      <c r="D215" s="126" t="s">
        <v>40</v>
      </c>
      <c r="E215" s="332" t="s">
        <v>298</v>
      </c>
      <c r="F215" s="332"/>
      <c r="G215" s="575">
        <f t="shared" ref="G215:M216" si="25">G216</f>
        <v>50</v>
      </c>
      <c r="H215" s="575"/>
      <c r="I215" s="333">
        <f t="shared" si="25"/>
        <v>50</v>
      </c>
      <c r="J215" s="681"/>
      <c r="K215" s="681"/>
      <c r="L215" s="681"/>
      <c r="M215" s="334">
        <f t="shared" si="25"/>
        <v>50</v>
      </c>
      <c r="N215" s="708"/>
    </row>
    <row r="216" spans="1:14" s="276" customFormat="1" ht="12.75" hidden="1" customHeight="1" x14ac:dyDescent="0.2">
      <c r="A216" s="223" t="s">
        <v>299</v>
      </c>
      <c r="B216" s="298"/>
      <c r="C216" s="115" t="s">
        <v>57</v>
      </c>
      <c r="D216" s="115" t="s">
        <v>40</v>
      </c>
      <c r="E216" s="298" t="s">
        <v>300</v>
      </c>
      <c r="F216" s="298"/>
      <c r="G216" s="573">
        <f t="shared" si="25"/>
        <v>50</v>
      </c>
      <c r="H216" s="573"/>
      <c r="I216" s="287">
        <f t="shared" si="25"/>
        <v>50</v>
      </c>
      <c r="J216" s="682"/>
      <c r="K216" s="682"/>
      <c r="L216" s="682"/>
      <c r="M216" s="292">
        <f t="shared" si="25"/>
        <v>50</v>
      </c>
      <c r="N216" s="706"/>
    </row>
    <row r="217" spans="1:14" s="276" customFormat="1" ht="13.5" hidden="1" thickBot="1" x14ac:dyDescent="0.25">
      <c r="A217" s="300" t="s">
        <v>302</v>
      </c>
      <c r="B217" s="298"/>
      <c r="C217" s="115" t="s">
        <v>57</v>
      </c>
      <c r="D217" s="115" t="s">
        <v>40</v>
      </c>
      <c r="E217" s="298" t="s">
        <v>301</v>
      </c>
      <c r="F217" s="298"/>
      <c r="G217" s="573">
        <f>G219</f>
        <v>50</v>
      </c>
      <c r="H217" s="573"/>
      <c r="I217" s="287">
        <f>I219</f>
        <v>50</v>
      </c>
      <c r="J217" s="682"/>
      <c r="K217" s="682"/>
      <c r="L217" s="682"/>
      <c r="M217" s="292">
        <f>M219</f>
        <v>50</v>
      </c>
      <c r="N217" s="706"/>
    </row>
    <row r="218" spans="1:14" s="276" customFormat="1" ht="26.25" hidden="1" thickBot="1" x14ac:dyDescent="0.25">
      <c r="A218" s="356" t="s">
        <v>31</v>
      </c>
      <c r="B218" s="298"/>
      <c r="C218" s="115" t="s">
        <v>57</v>
      </c>
      <c r="D218" s="115" t="s">
        <v>40</v>
      </c>
      <c r="E218" s="298" t="s">
        <v>301</v>
      </c>
      <c r="F218" s="301">
        <v>200</v>
      </c>
      <c r="G218" s="573">
        <f>G219</f>
        <v>50</v>
      </c>
      <c r="H218" s="573"/>
      <c r="I218" s="287">
        <f>I219</f>
        <v>50</v>
      </c>
      <c r="J218" s="682"/>
      <c r="K218" s="682"/>
      <c r="L218" s="682"/>
      <c r="M218" s="292">
        <f>M219</f>
        <v>50</v>
      </c>
      <c r="N218" s="706"/>
    </row>
    <row r="219" spans="1:14" s="276" customFormat="1" ht="26.25" hidden="1" thickBot="1" x14ac:dyDescent="0.25">
      <c r="A219" s="355" t="s">
        <v>67</v>
      </c>
      <c r="B219" s="298"/>
      <c r="C219" s="115" t="s">
        <v>57</v>
      </c>
      <c r="D219" s="115" t="s">
        <v>40</v>
      </c>
      <c r="E219" s="298" t="s">
        <v>301</v>
      </c>
      <c r="F219" s="298" t="s">
        <v>68</v>
      </c>
      <c r="G219" s="573">
        <v>50</v>
      </c>
      <c r="H219" s="573"/>
      <c r="I219" s="287">
        <v>50</v>
      </c>
      <c r="J219" s="682"/>
      <c r="K219" s="682"/>
      <c r="L219" s="682"/>
      <c r="M219" s="292">
        <v>50</v>
      </c>
      <c r="N219" s="706"/>
    </row>
    <row r="220" spans="1:14" s="276" customFormat="1" ht="14.25" hidden="1" thickBot="1" x14ac:dyDescent="0.25">
      <c r="A220" s="302" t="s">
        <v>410</v>
      </c>
      <c r="B220" s="291"/>
      <c r="C220" s="317" t="s">
        <v>57</v>
      </c>
      <c r="D220" s="317" t="s">
        <v>40</v>
      </c>
      <c r="E220" s="317" t="s">
        <v>321</v>
      </c>
      <c r="F220" s="317"/>
      <c r="G220" s="575">
        <f>G221</f>
        <v>50</v>
      </c>
      <c r="H220" s="575"/>
      <c r="I220" s="333">
        <f>I221</f>
        <v>50</v>
      </c>
      <c r="J220" s="681"/>
      <c r="K220" s="681"/>
      <c r="L220" s="681"/>
      <c r="M220" s="334">
        <f>M221</f>
        <v>50</v>
      </c>
      <c r="N220" s="708"/>
    </row>
    <row r="221" spans="1:14" s="276" customFormat="1" ht="14.25" hidden="1" thickBot="1" x14ac:dyDescent="0.25">
      <c r="A221" s="124" t="s">
        <v>320</v>
      </c>
      <c r="B221" s="291"/>
      <c r="C221" s="7" t="s">
        <v>57</v>
      </c>
      <c r="D221" s="7" t="s">
        <v>40</v>
      </c>
      <c r="E221" s="7" t="s">
        <v>322</v>
      </c>
      <c r="F221" s="7"/>
      <c r="G221" s="573">
        <f>G223</f>
        <v>50</v>
      </c>
      <c r="H221" s="573"/>
      <c r="I221" s="287">
        <f>I223</f>
        <v>50</v>
      </c>
      <c r="J221" s="682"/>
      <c r="K221" s="682"/>
      <c r="L221" s="682"/>
      <c r="M221" s="292">
        <f>M223</f>
        <v>50</v>
      </c>
      <c r="N221" s="706"/>
    </row>
    <row r="222" spans="1:14" s="276" customFormat="1" ht="39" hidden="1" thickBot="1" x14ac:dyDescent="0.25">
      <c r="A222" s="124" t="s">
        <v>383</v>
      </c>
      <c r="B222" s="291"/>
      <c r="C222" s="7" t="s">
        <v>57</v>
      </c>
      <c r="D222" s="7" t="s">
        <v>40</v>
      </c>
      <c r="E222" s="7" t="s">
        <v>323</v>
      </c>
      <c r="F222" s="7"/>
      <c r="G222" s="573">
        <f t="shared" ref="G222:M223" si="26">G223</f>
        <v>50</v>
      </c>
      <c r="H222" s="573"/>
      <c r="I222" s="287">
        <f t="shared" si="26"/>
        <v>50</v>
      </c>
      <c r="J222" s="682"/>
      <c r="K222" s="682"/>
      <c r="L222" s="682"/>
      <c r="M222" s="292">
        <f t="shared" si="26"/>
        <v>50</v>
      </c>
      <c r="N222" s="706"/>
    </row>
    <row r="223" spans="1:14" s="276" customFormat="1" ht="26.25" hidden="1" thickBot="1" x14ac:dyDescent="0.25">
      <c r="A223" s="355" t="s">
        <v>31</v>
      </c>
      <c r="B223" s="291"/>
      <c r="C223" s="7" t="s">
        <v>57</v>
      </c>
      <c r="D223" s="7" t="s">
        <v>40</v>
      </c>
      <c r="E223" s="7" t="s">
        <v>323</v>
      </c>
      <c r="F223" s="7" t="s">
        <v>66</v>
      </c>
      <c r="G223" s="573">
        <f t="shared" si="26"/>
        <v>50</v>
      </c>
      <c r="H223" s="573"/>
      <c r="I223" s="287">
        <f t="shared" si="26"/>
        <v>50</v>
      </c>
      <c r="J223" s="682"/>
      <c r="K223" s="682"/>
      <c r="L223" s="682"/>
      <c r="M223" s="292">
        <f t="shared" si="26"/>
        <v>50</v>
      </c>
      <c r="N223" s="706"/>
    </row>
    <row r="224" spans="1:14" s="276" customFormat="1" ht="26.25" hidden="1" thickBot="1" x14ac:dyDescent="0.25">
      <c r="A224" s="355" t="s">
        <v>67</v>
      </c>
      <c r="B224" s="291"/>
      <c r="C224" s="7" t="s">
        <v>57</v>
      </c>
      <c r="D224" s="7" t="s">
        <v>40</v>
      </c>
      <c r="E224" s="7" t="s">
        <v>323</v>
      </c>
      <c r="F224" s="7" t="s">
        <v>68</v>
      </c>
      <c r="G224" s="573">
        <v>50</v>
      </c>
      <c r="H224" s="573"/>
      <c r="I224" s="287">
        <v>50</v>
      </c>
      <c r="J224" s="287"/>
      <c r="K224" s="287"/>
      <c r="L224" s="287"/>
      <c r="M224" s="287">
        <v>50</v>
      </c>
      <c r="N224" s="706"/>
    </row>
    <row r="225" spans="1:14" s="276" customFormat="1" ht="39" hidden="1" thickBot="1" x14ac:dyDescent="0.25">
      <c r="A225" s="217" t="s">
        <v>384</v>
      </c>
      <c r="B225" s="5"/>
      <c r="C225" s="254" t="s">
        <v>57</v>
      </c>
      <c r="D225" s="254" t="s">
        <v>40</v>
      </c>
      <c r="E225" s="254" t="s">
        <v>64</v>
      </c>
      <c r="F225" s="254"/>
      <c r="G225" s="567">
        <f t="shared" ref="G225:M226" si="27">G226</f>
        <v>20721.025020000001</v>
      </c>
      <c r="H225" s="567"/>
      <c r="I225" s="296">
        <f t="shared" si="27"/>
        <v>1500</v>
      </c>
      <c r="J225" s="686"/>
      <c r="K225" s="686"/>
      <c r="L225" s="686"/>
      <c r="M225" s="258">
        <f t="shared" si="27"/>
        <v>1000</v>
      </c>
      <c r="N225" s="703"/>
    </row>
    <row r="226" spans="1:14" s="276" customFormat="1" ht="13.5" hidden="1" thickBot="1" x14ac:dyDescent="0.25">
      <c r="A226" s="89" t="s">
        <v>422</v>
      </c>
      <c r="B226" s="112"/>
      <c r="C226" s="112" t="s">
        <v>57</v>
      </c>
      <c r="D226" s="112" t="s">
        <v>40</v>
      </c>
      <c r="E226" s="112" t="s">
        <v>319</v>
      </c>
      <c r="F226" s="112"/>
      <c r="G226" s="561">
        <f t="shared" si="27"/>
        <v>20721.025020000001</v>
      </c>
      <c r="H226" s="561"/>
      <c r="I226" s="333">
        <f t="shared" si="27"/>
        <v>1500</v>
      </c>
      <c r="J226" s="681"/>
      <c r="K226" s="681"/>
      <c r="L226" s="681"/>
      <c r="M226" s="253">
        <f t="shared" si="27"/>
        <v>1000</v>
      </c>
      <c r="N226" s="704"/>
    </row>
    <row r="227" spans="1:14" s="276" customFormat="1" ht="26.25" hidden="1" thickBot="1" x14ac:dyDescent="0.25">
      <c r="A227" s="9" t="s">
        <v>324</v>
      </c>
      <c r="B227" s="5"/>
      <c r="C227" s="5" t="s">
        <v>57</v>
      </c>
      <c r="D227" s="5" t="s">
        <v>40</v>
      </c>
      <c r="E227" s="5" t="s">
        <v>455</v>
      </c>
      <c r="F227" s="5"/>
      <c r="G227" s="562">
        <f>G229</f>
        <v>20721.025020000001</v>
      </c>
      <c r="H227" s="562"/>
      <c r="I227" s="287">
        <f>I229</f>
        <v>1500</v>
      </c>
      <c r="J227" s="682"/>
      <c r="K227" s="682"/>
      <c r="L227" s="682"/>
      <c r="M227" s="11">
        <f>M229</f>
        <v>1000</v>
      </c>
      <c r="N227" s="705"/>
    </row>
    <row r="228" spans="1:14" s="276" customFormat="1" ht="13.5" hidden="1" thickBot="1" x14ac:dyDescent="0.25">
      <c r="A228" s="9" t="s">
        <v>153</v>
      </c>
      <c r="B228" s="5"/>
      <c r="C228" s="5" t="s">
        <v>57</v>
      </c>
      <c r="D228" s="5" t="s">
        <v>40</v>
      </c>
      <c r="E228" s="5" t="s">
        <v>456</v>
      </c>
      <c r="F228" s="5"/>
      <c r="G228" s="562">
        <f t="shared" ref="G228:M229" si="28">G229</f>
        <v>20721.025020000001</v>
      </c>
      <c r="H228" s="562"/>
      <c r="I228" s="287">
        <f t="shared" si="28"/>
        <v>1500</v>
      </c>
      <c r="J228" s="682"/>
      <c r="K228" s="682"/>
      <c r="L228" s="682"/>
      <c r="M228" s="11">
        <f t="shared" si="28"/>
        <v>1000</v>
      </c>
      <c r="N228" s="705"/>
    </row>
    <row r="229" spans="1:14" s="276" customFormat="1" ht="26.25" hidden="1" thickBot="1" x14ac:dyDescent="0.25">
      <c r="A229" s="10" t="s">
        <v>31</v>
      </c>
      <c r="B229" s="5"/>
      <c r="C229" s="5" t="s">
        <v>57</v>
      </c>
      <c r="D229" s="5" t="s">
        <v>40</v>
      </c>
      <c r="E229" s="1" t="s">
        <v>456</v>
      </c>
      <c r="F229" s="5" t="s">
        <v>66</v>
      </c>
      <c r="G229" s="562">
        <f t="shared" si="28"/>
        <v>20721.025020000001</v>
      </c>
      <c r="H229" s="562"/>
      <c r="I229" s="287">
        <f t="shared" si="28"/>
        <v>1500</v>
      </c>
      <c r="J229" s="682"/>
      <c r="K229" s="682"/>
      <c r="L229" s="682"/>
      <c r="M229" s="11">
        <f t="shared" si="28"/>
        <v>1000</v>
      </c>
      <c r="N229" s="705"/>
    </row>
    <row r="230" spans="1:14" s="276" customFormat="1" ht="26.25" hidden="1" thickBot="1" x14ac:dyDescent="0.25">
      <c r="A230" s="10" t="s">
        <v>67</v>
      </c>
      <c r="B230" s="5"/>
      <c r="C230" s="5" t="s">
        <v>57</v>
      </c>
      <c r="D230" s="5" t="s">
        <v>40</v>
      </c>
      <c r="E230" s="1" t="s">
        <v>456</v>
      </c>
      <c r="F230" s="5" t="s">
        <v>68</v>
      </c>
      <c r="G230" s="562">
        <v>20721.025020000001</v>
      </c>
      <c r="H230" s="562"/>
      <c r="I230" s="287">
        <v>1500</v>
      </c>
      <c r="J230" s="682"/>
      <c r="K230" s="682"/>
      <c r="L230" s="682"/>
      <c r="M230" s="11">
        <v>1000</v>
      </c>
      <c r="N230" s="705"/>
    </row>
    <row r="231" spans="1:14" s="276" customFormat="1" ht="90" hidden="1" thickBot="1" x14ac:dyDescent="0.25">
      <c r="A231" s="481" t="s">
        <v>354</v>
      </c>
      <c r="B231" s="5"/>
      <c r="C231" s="254" t="s">
        <v>57</v>
      </c>
      <c r="D231" s="254" t="s">
        <v>40</v>
      </c>
      <c r="E231" s="482" t="s">
        <v>364</v>
      </c>
      <c r="F231" s="5"/>
      <c r="G231" s="574">
        <f>G232+G3421</f>
        <v>2364.0216</v>
      </c>
      <c r="H231" s="574"/>
      <c r="I231" s="296">
        <f>I232+I3421</f>
        <v>0</v>
      </c>
      <c r="J231" s="686"/>
      <c r="K231" s="686"/>
      <c r="L231" s="686"/>
      <c r="M231" s="297">
        <f>M232+M3421</f>
        <v>0</v>
      </c>
      <c r="N231" s="707"/>
    </row>
    <row r="232" spans="1:14" s="276" customFormat="1" ht="13.5" hidden="1" thickBot="1" x14ac:dyDescent="0.25">
      <c r="A232" s="154" t="s">
        <v>232</v>
      </c>
      <c r="B232" s="5"/>
      <c r="C232" s="112" t="s">
        <v>57</v>
      </c>
      <c r="D232" s="112" t="s">
        <v>40</v>
      </c>
      <c r="E232" s="87" t="s">
        <v>365</v>
      </c>
      <c r="F232" s="5"/>
      <c r="G232" s="562">
        <f t="shared" ref="G232:M235" si="29">G233</f>
        <v>2364.0216</v>
      </c>
      <c r="H232" s="562"/>
      <c r="I232" s="287">
        <f t="shared" si="29"/>
        <v>0</v>
      </c>
      <c r="J232" s="682"/>
      <c r="K232" s="682"/>
      <c r="L232" s="682"/>
      <c r="M232" s="11">
        <f t="shared" si="29"/>
        <v>0</v>
      </c>
      <c r="N232" s="705"/>
    </row>
    <row r="233" spans="1:14" s="276" customFormat="1" ht="26.25" hidden="1" thickBot="1" x14ac:dyDescent="0.25">
      <c r="A233" s="155" t="s">
        <v>362</v>
      </c>
      <c r="B233" s="5"/>
      <c r="C233" s="5" t="s">
        <v>57</v>
      </c>
      <c r="D233" s="5" t="s">
        <v>40</v>
      </c>
      <c r="E233" s="56" t="s">
        <v>366</v>
      </c>
      <c r="F233" s="5"/>
      <c r="G233" s="562">
        <f t="shared" si="29"/>
        <v>2364.0216</v>
      </c>
      <c r="H233" s="562"/>
      <c r="I233" s="287">
        <f t="shared" si="29"/>
        <v>0</v>
      </c>
      <c r="J233" s="682"/>
      <c r="K233" s="682"/>
      <c r="L233" s="682"/>
      <c r="M233" s="11">
        <f t="shared" si="29"/>
        <v>0</v>
      </c>
      <c r="N233" s="705"/>
    </row>
    <row r="234" spans="1:14" s="276" customFormat="1" ht="39" hidden="1" thickBot="1" x14ac:dyDescent="0.25">
      <c r="A234" s="155" t="s">
        <v>367</v>
      </c>
      <c r="B234" s="5"/>
      <c r="C234" s="5" t="s">
        <v>57</v>
      </c>
      <c r="D234" s="5" t="s">
        <v>40</v>
      </c>
      <c r="E234" s="56" t="s">
        <v>363</v>
      </c>
      <c r="F234" s="5"/>
      <c r="G234" s="562">
        <f t="shared" si="29"/>
        <v>2364.0216</v>
      </c>
      <c r="H234" s="562"/>
      <c r="I234" s="287">
        <f t="shared" si="29"/>
        <v>0</v>
      </c>
      <c r="J234" s="682"/>
      <c r="K234" s="682"/>
      <c r="L234" s="682"/>
      <c r="M234" s="11">
        <f t="shared" si="29"/>
        <v>0</v>
      </c>
      <c r="N234" s="705"/>
    </row>
    <row r="235" spans="1:14" s="276" customFormat="1" ht="26.25" hidden="1" thickBot="1" x14ac:dyDescent="0.25">
      <c r="A235" s="338" t="s">
        <v>31</v>
      </c>
      <c r="B235" s="5"/>
      <c r="C235" s="5" t="s">
        <v>57</v>
      </c>
      <c r="D235" s="5" t="s">
        <v>40</v>
      </c>
      <c r="E235" s="56" t="s">
        <v>363</v>
      </c>
      <c r="F235" s="5" t="s">
        <v>66</v>
      </c>
      <c r="G235" s="562">
        <f t="shared" si="29"/>
        <v>2364.0216</v>
      </c>
      <c r="H235" s="562"/>
      <c r="I235" s="287">
        <f t="shared" si="29"/>
        <v>0</v>
      </c>
      <c r="J235" s="682"/>
      <c r="K235" s="682"/>
      <c r="L235" s="682"/>
      <c r="M235" s="11">
        <f t="shared" si="29"/>
        <v>0</v>
      </c>
      <c r="N235" s="705"/>
    </row>
    <row r="236" spans="1:14" s="276" customFormat="1" ht="26.25" hidden="1" thickBot="1" x14ac:dyDescent="0.25">
      <c r="A236" s="10" t="s">
        <v>67</v>
      </c>
      <c r="B236" s="5"/>
      <c r="C236" s="5" t="s">
        <v>57</v>
      </c>
      <c r="D236" s="5" t="s">
        <v>40</v>
      </c>
      <c r="E236" s="56" t="s">
        <v>363</v>
      </c>
      <c r="F236" s="5" t="s">
        <v>68</v>
      </c>
      <c r="G236" s="562">
        <f>пр.2!C66+189.1216</f>
        <v>2364.0216</v>
      </c>
      <c r="H236" s="562"/>
      <c r="I236" s="287">
        <f>пр.2!D66</f>
        <v>0</v>
      </c>
      <c r="J236" s="287"/>
      <c r="K236" s="287"/>
      <c r="L236" s="287"/>
      <c r="M236" s="6">
        <f>пр.2!E66</f>
        <v>0</v>
      </c>
      <c r="N236" s="705"/>
    </row>
    <row r="237" spans="1:14" s="276" customFormat="1" ht="14.25" thickBot="1" x14ac:dyDescent="0.25">
      <c r="A237" s="244" t="s">
        <v>131</v>
      </c>
      <c r="B237" s="245"/>
      <c r="C237" s="245" t="s">
        <v>43</v>
      </c>
      <c r="D237" s="245"/>
      <c r="E237" s="245"/>
      <c r="F237" s="245"/>
      <c r="G237" s="559">
        <f>G238+G245</f>
        <v>1663.1</v>
      </c>
      <c r="H237" s="716">
        <f>G237/G20</f>
        <v>3.9155556257566429E-3</v>
      </c>
      <c r="I237" s="536">
        <f>I238+I245</f>
        <v>1663.1</v>
      </c>
      <c r="J237" s="718">
        <f>I237/I20</f>
        <v>5.5273317183296448E-3</v>
      </c>
      <c r="K237" s="264">
        <f>M237</f>
        <v>1663.1</v>
      </c>
      <c r="L237" s="718">
        <f>K237/K20</f>
        <v>5.2635621964601496E-3</v>
      </c>
      <c r="M237" s="247">
        <f>M238+M245</f>
        <v>1663.1</v>
      </c>
      <c r="N237" s="702"/>
    </row>
    <row r="238" spans="1:14" s="248" customFormat="1" ht="14.25" hidden="1" thickBot="1" x14ac:dyDescent="0.3">
      <c r="A238" s="277" t="s">
        <v>297</v>
      </c>
      <c r="B238" s="268"/>
      <c r="C238" s="268" t="s">
        <v>43</v>
      </c>
      <c r="D238" s="268" t="s">
        <v>43</v>
      </c>
      <c r="E238" s="268"/>
      <c r="F238" s="268"/>
      <c r="G238" s="565">
        <f t="shared" ref="G238:M240" si="30">G239</f>
        <v>563.1</v>
      </c>
      <c r="H238" s="565"/>
      <c r="I238" s="540">
        <f t="shared" si="30"/>
        <v>563.1</v>
      </c>
      <c r="J238" s="684"/>
      <c r="K238" s="684"/>
      <c r="L238" s="684"/>
      <c r="M238" s="269">
        <f t="shared" si="30"/>
        <v>563.1</v>
      </c>
      <c r="N238" s="702"/>
    </row>
    <row r="239" spans="1:14" s="237" customFormat="1" ht="39" hidden="1" thickBot="1" x14ac:dyDescent="0.25">
      <c r="A239" s="278" t="s">
        <v>372</v>
      </c>
      <c r="B239" s="272"/>
      <c r="C239" s="272" t="s">
        <v>43</v>
      </c>
      <c r="D239" s="272" t="s">
        <v>43</v>
      </c>
      <c r="E239" s="272" t="s">
        <v>41</v>
      </c>
      <c r="F239" s="272"/>
      <c r="G239" s="566">
        <f t="shared" si="30"/>
        <v>563.1</v>
      </c>
      <c r="H239" s="566"/>
      <c r="I239" s="541">
        <f t="shared" si="30"/>
        <v>563.1</v>
      </c>
      <c r="J239" s="685"/>
      <c r="K239" s="685"/>
      <c r="L239" s="685"/>
      <c r="M239" s="273">
        <f t="shared" si="30"/>
        <v>563.1</v>
      </c>
      <c r="N239" s="703"/>
    </row>
    <row r="240" spans="1:14" s="276" customFormat="1" ht="13.5" hidden="1" thickBot="1" x14ac:dyDescent="0.25">
      <c r="A240" s="89" t="s">
        <v>232</v>
      </c>
      <c r="B240" s="112"/>
      <c r="C240" s="112" t="s">
        <v>43</v>
      </c>
      <c r="D240" s="112" t="s">
        <v>43</v>
      </c>
      <c r="E240" s="112" t="s">
        <v>233</v>
      </c>
      <c r="F240" s="112"/>
      <c r="G240" s="561">
        <f>G241</f>
        <v>563.1</v>
      </c>
      <c r="H240" s="561"/>
      <c r="I240" s="333">
        <f t="shared" si="30"/>
        <v>563.1</v>
      </c>
      <c r="J240" s="333"/>
      <c r="K240" s="333"/>
      <c r="L240" s="333"/>
      <c r="M240" s="252">
        <f t="shared" si="30"/>
        <v>563.1</v>
      </c>
      <c r="N240" s="704"/>
    </row>
    <row r="241" spans="1:14" s="276" customFormat="1" ht="12.75" hidden="1" customHeight="1" x14ac:dyDescent="0.2">
      <c r="A241" s="89" t="s">
        <v>237</v>
      </c>
      <c r="B241" s="112"/>
      <c r="C241" s="112" t="s">
        <v>43</v>
      </c>
      <c r="D241" s="112" t="s">
        <v>43</v>
      </c>
      <c r="E241" s="112" t="s">
        <v>238</v>
      </c>
      <c r="F241" s="112"/>
      <c r="G241" s="561">
        <f>SUM(G242)</f>
        <v>563.1</v>
      </c>
      <c r="H241" s="561"/>
      <c r="I241" s="333">
        <f>SUM(I242)</f>
        <v>563.1</v>
      </c>
      <c r="J241" s="681"/>
      <c r="K241" s="681"/>
      <c r="L241" s="681"/>
      <c r="M241" s="253">
        <f>SUM(M242)</f>
        <v>563.1</v>
      </c>
      <c r="N241" s="704"/>
    </row>
    <row r="242" spans="1:14" s="8" customFormat="1" ht="13.5" hidden="1" thickBot="1" x14ac:dyDescent="0.25">
      <c r="A242" s="9" t="s">
        <v>44</v>
      </c>
      <c r="B242" s="5"/>
      <c r="C242" s="5" t="s">
        <v>43</v>
      </c>
      <c r="D242" s="5" t="s">
        <v>43</v>
      </c>
      <c r="E242" s="5" t="s">
        <v>239</v>
      </c>
      <c r="F242" s="5"/>
      <c r="G242" s="562">
        <f>G244</f>
        <v>563.1</v>
      </c>
      <c r="H242" s="562"/>
      <c r="I242" s="287">
        <f>I244</f>
        <v>563.1</v>
      </c>
      <c r="J242" s="682"/>
      <c r="K242" s="682"/>
      <c r="L242" s="682"/>
      <c r="M242" s="11">
        <f>M244</f>
        <v>563.1</v>
      </c>
      <c r="N242" s="705"/>
    </row>
    <row r="243" spans="1:14" s="8" customFormat="1" ht="26.25" hidden="1" thickBot="1" x14ac:dyDescent="0.25">
      <c r="A243" s="10" t="s">
        <v>31</v>
      </c>
      <c r="B243" s="5"/>
      <c r="C243" s="5" t="s">
        <v>43</v>
      </c>
      <c r="D243" s="5" t="s">
        <v>43</v>
      </c>
      <c r="E243" s="5" t="s">
        <v>239</v>
      </c>
      <c r="F243" s="5" t="s">
        <v>66</v>
      </c>
      <c r="G243" s="562">
        <f>G244</f>
        <v>563.1</v>
      </c>
      <c r="H243" s="562"/>
      <c r="I243" s="287">
        <f>I244</f>
        <v>563.1</v>
      </c>
      <c r="J243" s="682"/>
      <c r="K243" s="682"/>
      <c r="L243" s="682"/>
      <c r="M243" s="11">
        <f>M244</f>
        <v>563.1</v>
      </c>
      <c r="N243" s="705"/>
    </row>
    <row r="244" spans="1:14" s="8" customFormat="1" ht="26.25" hidden="1" thickBot="1" x14ac:dyDescent="0.25">
      <c r="A244" s="255" t="s">
        <v>67</v>
      </c>
      <c r="B244" s="130"/>
      <c r="C244" s="130" t="s">
        <v>43</v>
      </c>
      <c r="D244" s="130" t="s">
        <v>43</v>
      </c>
      <c r="E244" s="130" t="s">
        <v>239</v>
      </c>
      <c r="F244" s="130" t="s">
        <v>68</v>
      </c>
      <c r="G244" s="563">
        <v>563.1</v>
      </c>
      <c r="H244" s="563"/>
      <c r="I244" s="538">
        <f>G244</f>
        <v>563.1</v>
      </c>
      <c r="J244" s="683"/>
      <c r="K244" s="683"/>
      <c r="L244" s="683"/>
      <c r="M244" s="171">
        <f>I244</f>
        <v>563.1</v>
      </c>
      <c r="N244" s="705"/>
    </row>
    <row r="245" spans="1:14" s="8" customFormat="1" ht="14.25" hidden="1" thickBot="1" x14ac:dyDescent="0.25">
      <c r="A245" s="260" t="s">
        <v>296</v>
      </c>
      <c r="B245" s="210"/>
      <c r="C245" s="245" t="s">
        <v>43</v>
      </c>
      <c r="D245" s="245" t="s">
        <v>49</v>
      </c>
      <c r="E245" s="245"/>
      <c r="F245" s="245"/>
      <c r="G245" s="559">
        <f>G249</f>
        <v>1100</v>
      </c>
      <c r="H245" s="559"/>
      <c r="I245" s="536">
        <f>I249</f>
        <v>1100</v>
      </c>
      <c r="J245" s="679"/>
      <c r="K245" s="679"/>
      <c r="L245" s="679"/>
      <c r="M245" s="247">
        <f>M249</f>
        <v>1100</v>
      </c>
      <c r="N245" s="702"/>
    </row>
    <row r="246" spans="1:14" s="8" customFormat="1" ht="39" hidden="1" thickBot="1" x14ac:dyDescent="0.25">
      <c r="A246" s="483" t="s">
        <v>372</v>
      </c>
      <c r="B246" s="129"/>
      <c r="C246" s="129" t="s">
        <v>43</v>
      </c>
      <c r="D246" s="129" t="s">
        <v>49</v>
      </c>
      <c r="E246" s="250" t="s">
        <v>41</v>
      </c>
      <c r="F246" s="129"/>
      <c r="G246" s="576">
        <f t="shared" ref="G246:M250" si="31">G247</f>
        <v>1100</v>
      </c>
      <c r="H246" s="576"/>
      <c r="I246" s="547">
        <f t="shared" si="31"/>
        <v>1100</v>
      </c>
      <c r="J246" s="692"/>
      <c r="K246" s="692"/>
      <c r="L246" s="692"/>
      <c r="M246" s="484">
        <f t="shared" si="31"/>
        <v>1100</v>
      </c>
      <c r="N246" s="705"/>
    </row>
    <row r="247" spans="1:14" s="276" customFormat="1" ht="13.5" hidden="1" thickBot="1" x14ac:dyDescent="0.25">
      <c r="A247" s="89" t="s">
        <v>232</v>
      </c>
      <c r="B247" s="112"/>
      <c r="C247" s="112" t="s">
        <v>43</v>
      </c>
      <c r="D247" s="112" t="s">
        <v>49</v>
      </c>
      <c r="E247" s="112" t="s">
        <v>233</v>
      </c>
      <c r="F247" s="112"/>
      <c r="G247" s="561">
        <f t="shared" si="31"/>
        <v>1100</v>
      </c>
      <c r="H247" s="561"/>
      <c r="I247" s="333">
        <f t="shared" si="31"/>
        <v>1100</v>
      </c>
      <c r="J247" s="681"/>
      <c r="K247" s="681"/>
      <c r="L247" s="681"/>
      <c r="M247" s="253">
        <f t="shared" si="31"/>
        <v>1100</v>
      </c>
      <c r="N247" s="704"/>
    </row>
    <row r="248" spans="1:14" s="8" customFormat="1" ht="26.25" hidden="1" thickBot="1" x14ac:dyDescent="0.25">
      <c r="A248" s="89" t="s">
        <v>234</v>
      </c>
      <c r="B248" s="112"/>
      <c r="C248" s="112" t="s">
        <v>43</v>
      </c>
      <c r="D248" s="112" t="s">
        <v>49</v>
      </c>
      <c r="E248" s="112" t="s">
        <v>235</v>
      </c>
      <c r="F248" s="5"/>
      <c r="G248" s="562">
        <f t="shared" si="31"/>
        <v>1100</v>
      </c>
      <c r="H248" s="562"/>
      <c r="I248" s="287">
        <f t="shared" si="31"/>
        <v>1100</v>
      </c>
      <c r="J248" s="682"/>
      <c r="K248" s="682"/>
      <c r="L248" s="682"/>
      <c r="M248" s="11">
        <f t="shared" si="31"/>
        <v>1100</v>
      </c>
      <c r="N248" s="705"/>
    </row>
    <row r="249" spans="1:14" s="8" customFormat="1" ht="13.5" hidden="1" thickBot="1" x14ac:dyDescent="0.25">
      <c r="A249" s="9" t="s">
        <v>42</v>
      </c>
      <c r="B249" s="5"/>
      <c r="C249" s="5" t="s">
        <v>43</v>
      </c>
      <c r="D249" s="5" t="s">
        <v>49</v>
      </c>
      <c r="E249" s="5" t="s">
        <v>236</v>
      </c>
      <c r="F249" s="5"/>
      <c r="G249" s="562">
        <f t="shared" si="31"/>
        <v>1100</v>
      </c>
      <c r="H249" s="562"/>
      <c r="I249" s="287">
        <f t="shared" si="31"/>
        <v>1100</v>
      </c>
      <c r="J249" s="682"/>
      <c r="K249" s="682"/>
      <c r="L249" s="682"/>
      <c r="M249" s="11">
        <f t="shared" si="31"/>
        <v>1100</v>
      </c>
      <c r="N249" s="705"/>
    </row>
    <row r="250" spans="1:14" s="8" customFormat="1" ht="26.25" hidden="1" thickBot="1" x14ac:dyDescent="0.25">
      <c r="A250" s="10" t="s">
        <v>31</v>
      </c>
      <c r="B250" s="5"/>
      <c r="C250" s="5" t="s">
        <v>43</v>
      </c>
      <c r="D250" s="5" t="s">
        <v>49</v>
      </c>
      <c r="E250" s="5" t="s">
        <v>236</v>
      </c>
      <c r="F250" s="5" t="s">
        <v>66</v>
      </c>
      <c r="G250" s="562">
        <f t="shared" si="31"/>
        <v>1100</v>
      </c>
      <c r="H250" s="562"/>
      <c r="I250" s="287">
        <f t="shared" si="31"/>
        <v>1100</v>
      </c>
      <c r="J250" s="682"/>
      <c r="K250" s="682"/>
      <c r="L250" s="682"/>
      <c r="M250" s="11">
        <f t="shared" si="31"/>
        <v>1100</v>
      </c>
      <c r="N250" s="705"/>
    </row>
    <row r="251" spans="1:14" s="8" customFormat="1" ht="26.25" hidden="1" thickBot="1" x14ac:dyDescent="0.25">
      <c r="A251" s="255" t="s">
        <v>67</v>
      </c>
      <c r="B251" s="130"/>
      <c r="C251" s="130" t="s">
        <v>43</v>
      </c>
      <c r="D251" s="130" t="s">
        <v>49</v>
      </c>
      <c r="E251" s="130" t="s">
        <v>236</v>
      </c>
      <c r="F251" s="130" t="s">
        <v>68</v>
      </c>
      <c r="G251" s="563">
        <v>1100</v>
      </c>
      <c r="H251" s="563"/>
      <c r="I251" s="538">
        <v>1100</v>
      </c>
      <c r="J251" s="683"/>
      <c r="K251" s="683"/>
      <c r="L251" s="683"/>
      <c r="M251" s="171">
        <v>1100</v>
      </c>
      <c r="N251" s="705"/>
    </row>
    <row r="252" spans="1:14" s="8" customFormat="1" ht="14.25" thickBot="1" x14ac:dyDescent="0.25">
      <c r="A252" s="244" t="s">
        <v>132</v>
      </c>
      <c r="B252" s="245"/>
      <c r="C252" s="245" t="s">
        <v>46</v>
      </c>
      <c r="D252" s="245"/>
      <c r="E252" s="245"/>
      <c r="F252" s="245"/>
      <c r="G252" s="559">
        <f>SUM(G253)</f>
        <v>73714.785159999999</v>
      </c>
      <c r="H252" s="716">
        <f>G252/G20</f>
        <v>0.17355200633436371</v>
      </c>
      <c r="I252" s="536">
        <f>SUM(I253)</f>
        <v>59563.876860000004</v>
      </c>
      <c r="J252" s="718">
        <f>I252/I20</f>
        <v>0.19796122051287307</v>
      </c>
      <c r="K252" s="264">
        <f>M252</f>
        <v>74575.554860000004</v>
      </c>
      <c r="L252" s="718">
        <f>K252/K20</f>
        <v>0.23602493616808129</v>
      </c>
      <c r="M252" s="247">
        <f>SUM(M253)</f>
        <v>74575.554860000004</v>
      </c>
      <c r="N252" s="702"/>
    </row>
    <row r="253" spans="1:14" s="276" customFormat="1" ht="14.25" hidden="1" thickBot="1" x14ac:dyDescent="0.25">
      <c r="A253" s="277" t="s">
        <v>45</v>
      </c>
      <c r="B253" s="485"/>
      <c r="C253" s="268" t="s">
        <v>46</v>
      </c>
      <c r="D253" s="268" t="s">
        <v>30</v>
      </c>
      <c r="E253" s="268"/>
      <c r="F253" s="268"/>
      <c r="G253" s="565">
        <f t="shared" ref="G253:M255" si="32">G254</f>
        <v>73714.785159999999</v>
      </c>
      <c r="H253" s="565"/>
      <c r="I253" s="540">
        <f t="shared" si="32"/>
        <v>59563.876860000004</v>
      </c>
      <c r="J253" s="684"/>
      <c r="K253" s="684"/>
      <c r="L253" s="684"/>
      <c r="M253" s="269">
        <f t="shared" si="32"/>
        <v>74575.554860000004</v>
      </c>
      <c r="N253" s="702"/>
    </row>
    <row r="254" spans="1:14" s="8" customFormat="1" ht="39" hidden="1" thickBot="1" x14ac:dyDescent="0.25">
      <c r="A254" s="278" t="s">
        <v>398</v>
      </c>
      <c r="B254" s="486"/>
      <c r="C254" s="272" t="s">
        <v>46</v>
      </c>
      <c r="D254" s="272" t="s">
        <v>30</v>
      </c>
      <c r="E254" s="272" t="s">
        <v>41</v>
      </c>
      <c r="F254" s="272"/>
      <c r="G254" s="566">
        <f t="shared" si="32"/>
        <v>73714.785159999999</v>
      </c>
      <c r="H254" s="566"/>
      <c r="I254" s="541">
        <f t="shared" si="32"/>
        <v>59563.876860000004</v>
      </c>
      <c r="J254" s="685"/>
      <c r="K254" s="685"/>
      <c r="L254" s="685"/>
      <c r="M254" s="273">
        <f t="shared" si="32"/>
        <v>74575.554860000004</v>
      </c>
      <c r="N254" s="703"/>
    </row>
    <row r="255" spans="1:14" s="276" customFormat="1" ht="14.25" hidden="1" thickBot="1" x14ac:dyDescent="0.25">
      <c r="A255" s="89" t="s">
        <v>232</v>
      </c>
      <c r="B255" s="487"/>
      <c r="C255" s="112" t="s">
        <v>46</v>
      </c>
      <c r="D255" s="112" t="s">
        <v>30</v>
      </c>
      <c r="E255" s="112" t="s">
        <v>233</v>
      </c>
      <c r="F255" s="194"/>
      <c r="G255" s="561">
        <f t="shared" si="32"/>
        <v>73714.785159999999</v>
      </c>
      <c r="H255" s="561"/>
      <c r="I255" s="333">
        <f t="shared" si="32"/>
        <v>59563.876860000004</v>
      </c>
      <c r="J255" s="681"/>
      <c r="K255" s="681"/>
      <c r="L255" s="681"/>
      <c r="M255" s="253">
        <f t="shared" si="32"/>
        <v>74575.554860000004</v>
      </c>
      <c r="N255" s="704"/>
    </row>
    <row r="256" spans="1:14" s="8" customFormat="1" ht="26.25" hidden="1" thickBot="1" x14ac:dyDescent="0.25">
      <c r="A256" s="9" t="s">
        <v>240</v>
      </c>
      <c r="B256" s="288"/>
      <c r="C256" s="5" t="s">
        <v>46</v>
      </c>
      <c r="D256" s="5" t="s">
        <v>30</v>
      </c>
      <c r="E256" s="5" t="s">
        <v>241</v>
      </c>
      <c r="F256" s="5"/>
      <c r="G256" s="562">
        <f>G257+G267+G264</f>
        <v>73714.785159999999</v>
      </c>
      <c r="H256" s="562"/>
      <c r="I256" s="287">
        <f>I257+I267+I264</f>
        <v>59563.876860000004</v>
      </c>
      <c r="J256" s="682"/>
      <c r="K256" s="682"/>
      <c r="L256" s="682"/>
      <c r="M256" s="11">
        <f>M257+M267+M264</f>
        <v>74575.554860000004</v>
      </c>
      <c r="N256" s="705"/>
    </row>
    <row r="257" spans="1:15" s="8" customFormat="1" ht="26.25" hidden="1" thickBot="1" x14ac:dyDescent="0.25">
      <c r="A257" s="9" t="s">
        <v>335</v>
      </c>
      <c r="B257" s="288"/>
      <c r="C257" s="5" t="s">
        <v>46</v>
      </c>
      <c r="D257" s="5" t="s">
        <v>30</v>
      </c>
      <c r="E257" s="5" t="s">
        <v>242</v>
      </c>
      <c r="F257" s="5"/>
      <c r="G257" s="562">
        <f>G258+G260+G262</f>
        <v>54680.785159999999</v>
      </c>
      <c r="H257" s="562"/>
      <c r="I257" s="287">
        <f>I258+I260+I262</f>
        <v>41544.876860000004</v>
      </c>
      <c r="J257" s="682"/>
      <c r="K257" s="682"/>
      <c r="L257" s="682"/>
      <c r="M257" s="11">
        <f>M258+M260+M262</f>
        <v>56556.554860000004</v>
      </c>
      <c r="N257" s="705"/>
    </row>
    <row r="258" spans="1:15" s="8" customFormat="1" ht="51.75" hidden="1" thickBot="1" x14ac:dyDescent="0.25">
      <c r="A258" s="10" t="s">
        <v>409</v>
      </c>
      <c r="B258" s="288"/>
      <c r="C258" s="5" t="s">
        <v>46</v>
      </c>
      <c r="D258" s="5" t="s">
        <v>30</v>
      </c>
      <c r="E258" s="5" t="s">
        <v>242</v>
      </c>
      <c r="F258" s="5" t="s">
        <v>72</v>
      </c>
      <c r="G258" s="562">
        <f>G259</f>
        <v>31552.008000000002</v>
      </c>
      <c r="H258" s="562"/>
      <c r="I258" s="287">
        <f>I259</f>
        <v>31536.808000000001</v>
      </c>
      <c r="J258" s="682"/>
      <c r="K258" s="682"/>
      <c r="L258" s="682"/>
      <c r="M258" s="11">
        <f>M259</f>
        <v>31536.808000000001</v>
      </c>
      <c r="N258" s="705"/>
      <c r="O258" s="8" t="s">
        <v>336</v>
      </c>
    </row>
    <row r="259" spans="1:15" s="8" customFormat="1" ht="13.5" hidden="1" thickBot="1" x14ac:dyDescent="0.25">
      <c r="A259" s="10" t="s">
        <v>133</v>
      </c>
      <c r="B259" s="288"/>
      <c r="C259" s="5" t="s">
        <v>46</v>
      </c>
      <c r="D259" s="5" t="s">
        <v>30</v>
      </c>
      <c r="E259" s="5" t="s">
        <v>242</v>
      </c>
      <c r="F259" s="5" t="s">
        <v>134</v>
      </c>
      <c r="G259" s="562">
        <f>24109.491+146.25+8.2+7+7281.067</f>
        <v>31552.008000000002</v>
      </c>
      <c r="H259" s="562"/>
      <c r="I259" s="287">
        <f>24109.491+146.25+7281.067</f>
        <v>31536.808000000001</v>
      </c>
      <c r="J259" s="682"/>
      <c r="K259" s="682"/>
      <c r="L259" s="682"/>
      <c r="M259" s="11">
        <f>I259</f>
        <v>31536.808000000001</v>
      </c>
      <c r="N259" s="705"/>
    </row>
    <row r="260" spans="1:15" s="8" customFormat="1" ht="26.25" hidden="1" thickBot="1" x14ac:dyDescent="0.25">
      <c r="A260" s="10" t="s">
        <v>31</v>
      </c>
      <c r="B260" s="288"/>
      <c r="C260" s="5" t="s">
        <v>46</v>
      </c>
      <c r="D260" s="5" t="s">
        <v>30</v>
      </c>
      <c r="E260" s="5" t="s">
        <v>242</v>
      </c>
      <c r="F260" s="5" t="s">
        <v>66</v>
      </c>
      <c r="G260" s="562">
        <f>G261</f>
        <v>23074.777159999998</v>
      </c>
      <c r="H260" s="562"/>
      <c r="I260" s="287">
        <f>I261</f>
        <v>9964.0688600000012</v>
      </c>
      <c r="J260" s="682"/>
      <c r="K260" s="682"/>
      <c r="L260" s="682"/>
      <c r="M260" s="11">
        <f>M261</f>
        <v>24975.746859999999</v>
      </c>
      <c r="N260" s="705"/>
    </row>
    <row r="261" spans="1:15" s="8" customFormat="1" ht="26.25" hidden="1" thickBot="1" x14ac:dyDescent="0.25">
      <c r="A261" s="10" t="s">
        <v>67</v>
      </c>
      <c r="B261" s="288"/>
      <c r="C261" s="5" t="s">
        <v>46</v>
      </c>
      <c r="D261" s="5" t="s">
        <v>30</v>
      </c>
      <c r="E261" s="5" t="s">
        <v>242</v>
      </c>
      <c r="F261" s="5" t="s">
        <v>68</v>
      </c>
      <c r="G261" s="562">
        <f>120.4+60.15+379.998+789.5+78.6+10.7+400+85.815+1951.33246+3277.672+60+3977.632+80+241.95+996.7277+267.6+2920.968+1954.728+90+120.994-189.99+4999.4+400.6</f>
        <v>23074.777159999998</v>
      </c>
      <c r="H261" s="562"/>
      <c r="I261" s="287">
        <f>120.4+60.15+379.998+38.5+10.7+85.815+1004.73246+1797.072+904.2+80+80+451.8014+54+2920.968+1954.728+90+120.994-189.99</f>
        <v>9964.0688600000012</v>
      </c>
      <c r="J261" s="682"/>
      <c r="K261" s="682"/>
      <c r="L261" s="682"/>
      <c r="M261" s="11">
        <f>120.4+60.15+379.998+32+85.815+1004.73246+1797.072+1043.358+80+32+389.5214+54+2920.968+1954.728+90+120.994-189.99+13866.2+1133.8</f>
        <v>24975.746859999999</v>
      </c>
      <c r="N261" s="705"/>
    </row>
    <row r="262" spans="1:15" s="8" customFormat="1" ht="13.5" hidden="1" thickBot="1" x14ac:dyDescent="0.25">
      <c r="A262" s="10" t="s">
        <v>33</v>
      </c>
      <c r="B262" s="288"/>
      <c r="C262" s="5" t="s">
        <v>46</v>
      </c>
      <c r="D262" s="5" t="s">
        <v>30</v>
      </c>
      <c r="E262" s="5" t="s">
        <v>242</v>
      </c>
      <c r="F262" s="5" t="s">
        <v>75</v>
      </c>
      <c r="G262" s="562">
        <f>G263</f>
        <v>54</v>
      </c>
      <c r="H262" s="562"/>
      <c r="I262" s="287">
        <f>I263</f>
        <v>44</v>
      </c>
      <c r="J262" s="682"/>
      <c r="K262" s="682"/>
      <c r="L262" s="682"/>
      <c r="M262" s="11">
        <f>M263</f>
        <v>44</v>
      </c>
      <c r="N262" s="705"/>
    </row>
    <row r="263" spans="1:15" s="8" customFormat="1" ht="13.5" hidden="1" thickBot="1" x14ac:dyDescent="0.25">
      <c r="A263" s="10" t="s">
        <v>76</v>
      </c>
      <c r="B263" s="288"/>
      <c r="C263" s="5" t="s">
        <v>46</v>
      </c>
      <c r="D263" s="5" t="s">
        <v>30</v>
      </c>
      <c r="E263" s="5" t="s">
        <v>242</v>
      </c>
      <c r="F263" s="5" t="s">
        <v>77</v>
      </c>
      <c r="G263" s="562">
        <f>40+10+4</f>
        <v>54</v>
      </c>
      <c r="H263" s="562"/>
      <c r="I263" s="287">
        <f>30+10+4</f>
        <v>44</v>
      </c>
      <c r="J263" s="682"/>
      <c r="K263" s="682"/>
      <c r="L263" s="682"/>
      <c r="M263" s="11">
        <f>I263</f>
        <v>44</v>
      </c>
      <c r="N263" s="705"/>
    </row>
    <row r="264" spans="1:15" s="8" customFormat="1" ht="13.5" hidden="1" thickBot="1" x14ac:dyDescent="0.25">
      <c r="A264" s="9" t="s">
        <v>47</v>
      </c>
      <c r="B264" s="288"/>
      <c r="C264" s="5" t="s">
        <v>46</v>
      </c>
      <c r="D264" s="5" t="s">
        <v>30</v>
      </c>
      <c r="E264" s="5" t="s">
        <v>244</v>
      </c>
      <c r="F264" s="5"/>
      <c r="G264" s="562">
        <f>SUM(G266)</f>
        <v>6088.2000000000007</v>
      </c>
      <c r="H264" s="562"/>
      <c r="I264" s="287">
        <f>SUM(I266)</f>
        <v>5073.2000000000007</v>
      </c>
      <c r="J264" s="682"/>
      <c r="K264" s="682"/>
      <c r="L264" s="682"/>
      <c r="M264" s="11">
        <f>SUM(M266)</f>
        <v>5073.2000000000007</v>
      </c>
      <c r="N264" s="705"/>
    </row>
    <row r="265" spans="1:15" s="8" customFormat="1" ht="26.25" hidden="1" thickBot="1" x14ac:dyDescent="0.25">
      <c r="A265" s="10" t="s">
        <v>31</v>
      </c>
      <c r="B265" s="288"/>
      <c r="C265" s="5" t="s">
        <v>46</v>
      </c>
      <c r="D265" s="5" t="s">
        <v>30</v>
      </c>
      <c r="E265" s="5" t="s">
        <v>244</v>
      </c>
      <c r="F265" s="5" t="s">
        <v>66</v>
      </c>
      <c r="G265" s="562">
        <f>G266</f>
        <v>6088.2000000000007</v>
      </c>
      <c r="H265" s="562"/>
      <c r="I265" s="287">
        <f>I266</f>
        <v>5073.2000000000007</v>
      </c>
      <c r="J265" s="682"/>
      <c r="K265" s="682"/>
      <c r="L265" s="682"/>
      <c r="M265" s="11">
        <f>M266</f>
        <v>5073.2000000000007</v>
      </c>
      <c r="N265" s="705"/>
    </row>
    <row r="266" spans="1:15" s="8" customFormat="1" ht="26.25" hidden="1" thickBot="1" x14ac:dyDescent="0.25">
      <c r="A266" s="10" t="s">
        <v>67</v>
      </c>
      <c r="B266" s="288"/>
      <c r="C266" s="5" t="s">
        <v>46</v>
      </c>
      <c r="D266" s="5" t="s">
        <v>30</v>
      </c>
      <c r="E266" s="5" t="s">
        <v>244</v>
      </c>
      <c r="F266" s="5" t="s">
        <v>68</v>
      </c>
      <c r="G266" s="562">
        <f>340+4883.6+309.8+554.8</f>
        <v>6088.2000000000007</v>
      </c>
      <c r="H266" s="562"/>
      <c r="I266" s="287">
        <f>340+3868.6+309.8+554.8</f>
        <v>5073.2000000000007</v>
      </c>
      <c r="J266" s="682"/>
      <c r="K266" s="682"/>
      <c r="L266" s="682"/>
      <c r="M266" s="11">
        <f>I266</f>
        <v>5073.2000000000007</v>
      </c>
      <c r="N266" s="705"/>
    </row>
    <row r="267" spans="1:15" s="8" customFormat="1" ht="64.5" hidden="1" thickBot="1" x14ac:dyDescent="0.25">
      <c r="A267" s="9" t="s">
        <v>427</v>
      </c>
      <c r="B267" s="288"/>
      <c r="C267" s="5" t="s">
        <v>46</v>
      </c>
      <c r="D267" s="5" t="s">
        <v>30</v>
      </c>
      <c r="E267" s="5" t="s">
        <v>243</v>
      </c>
      <c r="F267" s="5"/>
      <c r="G267" s="562">
        <f t="shared" ref="G267:M268" si="33">G268</f>
        <v>12945.800000000001</v>
      </c>
      <c r="H267" s="562"/>
      <c r="I267" s="287">
        <f t="shared" si="33"/>
        <v>12945.800000000001</v>
      </c>
      <c r="J267" s="682"/>
      <c r="K267" s="682"/>
      <c r="L267" s="682"/>
      <c r="M267" s="11">
        <f t="shared" si="33"/>
        <v>12945.800000000001</v>
      </c>
      <c r="N267" s="705"/>
    </row>
    <row r="268" spans="1:15" s="8" customFormat="1" ht="51.75" hidden="1" thickBot="1" x14ac:dyDescent="0.25">
      <c r="A268" s="10" t="s">
        <v>409</v>
      </c>
      <c r="B268" s="288"/>
      <c r="C268" s="5" t="s">
        <v>46</v>
      </c>
      <c r="D268" s="5" t="s">
        <v>30</v>
      </c>
      <c r="E268" s="5" t="s">
        <v>243</v>
      </c>
      <c r="F268" s="5" t="s">
        <v>72</v>
      </c>
      <c r="G268" s="562">
        <f t="shared" si="33"/>
        <v>12945.800000000001</v>
      </c>
      <c r="H268" s="562"/>
      <c r="I268" s="287">
        <f t="shared" si="33"/>
        <v>12945.800000000001</v>
      </c>
      <c r="J268" s="682"/>
      <c r="K268" s="682"/>
      <c r="L268" s="682"/>
      <c r="M268" s="11">
        <f t="shared" si="33"/>
        <v>12945.800000000001</v>
      </c>
      <c r="N268" s="705"/>
    </row>
    <row r="269" spans="1:15" s="8" customFormat="1" ht="13.5" hidden="1" thickBot="1" x14ac:dyDescent="0.25">
      <c r="A269" s="10" t="s">
        <v>133</v>
      </c>
      <c r="B269" s="288"/>
      <c r="C269" s="5" t="s">
        <v>46</v>
      </c>
      <c r="D269" s="5" t="s">
        <v>30</v>
      </c>
      <c r="E269" s="5" t="s">
        <v>243</v>
      </c>
      <c r="F269" s="5" t="s">
        <v>134</v>
      </c>
      <c r="G269" s="562">
        <f>9943.011+3002.789</f>
        <v>12945.800000000001</v>
      </c>
      <c r="H269" s="562"/>
      <c r="I269" s="287">
        <f>G269</f>
        <v>12945.800000000001</v>
      </c>
      <c r="J269" s="682"/>
      <c r="K269" s="682"/>
      <c r="L269" s="682"/>
      <c r="M269" s="11">
        <f>I269</f>
        <v>12945.800000000001</v>
      </c>
      <c r="N269" s="705"/>
    </row>
    <row r="270" spans="1:15" s="8" customFormat="1" ht="14.25" thickBot="1" x14ac:dyDescent="0.25">
      <c r="A270" s="244" t="s">
        <v>218</v>
      </c>
      <c r="B270" s="245"/>
      <c r="C270" s="245" t="s">
        <v>118</v>
      </c>
      <c r="D270" s="245"/>
      <c r="E270" s="245"/>
      <c r="F270" s="245"/>
      <c r="G270" s="559">
        <f>G271+G278</f>
        <v>2596.1440000000002</v>
      </c>
      <c r="H270" s="716">
        <f>G270/G20</f>
        <v>6.1122880430968399E-3</v>
      </c>
      <c r="I270" s="536">
        <f>I271+I278</f>
        <v>3587.6930000000002</v>
      </c>
      <c r="J270" s="718">
        <f>I270/I20</f>
        <v>1.1923738388869726E-2</v>
      </c>
      <c r="K270" s="264">
        <f>M270</f>
        <v>2256.7440000000001</v>
      </c>
      <c r="L270" s="718">
        <f>K270/K20</f>
        <v>7.1423921625207529E-3</v>
      </c>
      <c r="M270" s="247">
        <f>M271+M278</f>
        <v>2256.7440000000001</v>
      </c>
      <c r="N270" s="702"/>
    </row>
    <row r="271" spans="1:15" s="8" customFormat="1" ht="14.25" hidden="1" thickBot="1" x14ac:dyDescent="0.25">
      <c r="A271" s="277" t="s">
        <v>117</v>
      </c>
      <c r="B271" s="268"/>
      <c r="C271" s="268" t="s">
        <v>118</v>
      </c>
      <c r="D271" s="268" t="s">
        <v>30</v>
      </c>
      <c r="E271" s="268"/>
      <c r="F271" s="268"/>
      <c r="G271" s="565">
        <f>G272</f>
        <v>2256.7440000000001</v>
      </c>
      <c r="H271" s="565"/>
      <c r="I271" s="540">
        <f>I272</f>
        <v>2256.7440000000001</v>
      </c>
      <c r="J271" s="684"/>
      <c r="K271" s="684"/>
      <c r="L271" s="684"/>
      <c r="M271" s="269">
        <f>M272</f>
        <v>2256.7440000000001</v>
      </c>
      <c r="N271" s="702"/>
    </row>
    <row r="272" spans="1:15" s="8" customFormat="1" ht="39" hidden="1" thickBot="1" x14ac:dyDescent="0.25">
      <c r="A272" s="278" t="s">
        <v>401</v>
      </c>
      <c r="B272" s="186"/>
      <c r="C272" s="272" t="s">
        <v>118</v>
      </c>
      <c r="D272" s="272" t="s">
        <v>30</v>
      </c>
      <c r="E272" s="272" t="s">
        <v>94</v>
      </c>
      <c r="F272" s="186"/>
      <c r="G272" s="566">
        <f>SUM(G273)</f>
        <v>2256.7440000000001</v>
      </c>
      <c r="H272" s="566"/>
      <c r="I272" s="541">
        <f>SUM(I273)</f>
        <v>2256.7440000000001</v>
      </c>
      <c r="J272" s="685"/>
      <c r="K272" s="685"/>
      <c r="L272" s="685"/>
      <c r="M272" s="273">
        <f>SUM(M273)</f>
        <v>2256.7440000000001</v>
      </c>
      <c r="N272" s="703"/>
    </row>
    <row r="273" spans="1:14" s="8" customFormat="1" ht="14.25" hidden="1" thickBot="1" x14ac:dyDescent="0.25">
      <c r="A273" s="284" t="s">
        <v>13</v>
      </c>
      <c r="B273" s="194"/>
      <c r="C273" s="112" t="s">
        <v>118</v>
      </c>
      <c r="D273" s="112" t="s">
        <v>30</v>
      </c>
      <c r="E273" s="112" t="s">
        <v>95</v>
      </c>
      <c r="F273" s="194"/>
      <c r="G273" s="561">
        <f t="shared" ref="G273:M274" si="34">G274</f>
        <v>2256.7440000000001</v>
      </c>
      <c r="H273" s="561"/>
      <c r="I273" s="333">
        <f t="shared" si="34"/>
        <v>2256.7440000000001</v>
      </c>
      <c r="J273" s="681"/>
      <c r="K273" s="681"/>
      <c r="L273" s="681"/>
      <c r="M273" s="253">
        <f t="shared" si="34"/>
        <v>2256.7440000000001</v>
      </c>
      <c r="N273" s="704"/>
    </row>
    <row r="274" spans="1:14" s="8" customFormat="1" ht="14.25" hidden="1" thickBot="1" x14ac:dyDescent="0.25">
      <c r="A274" s="281" t="s">
        <v>13</v>
      </c>
      <c r="B274" s="194"/>
      <c r="C274" s="5" t="s">
        <v>118</v>
      </c>
      <c r="D274" s="5" t="s">
        <v>30</v>
      </c>
      <c r="E274" s="5" t="s">
        <v>96</v>
      </c>
      <c r="F274" s="194"/>
      <c r="G274" s="562">
        <f t="shared" si="34"/>
        <v>2256.7440000000001</v>
      </c>
      <c r="H274" s="562"/>
      <c r="I274" s="287">
        <f t="shared" si="34"/>
        <v>2256.7440000000001</v>
      </c>
      <c r="J274" s="682"/>
      <c r="K274" s="682"/>
      <c r="L274" s="682"/>
      <c r="M274" s="11">
        <f t="shared" si="34"/>
        <v>2256.7440000000001</v>
      </c>
      <c r="N274" s="705"/>
    </row>
    <row r="275" spans="1:14" s="8" customFormat="1" ht="13.5" hidden="1" thickBot="1" x14ac:dyDescent="0.25">
      <c r="A275" s="9" t="s">
        <v>113</v>
      </c>
      <c r="B275" s="5"/>
      <c r="C275" s="5" t="s">
        <v>118</v>
      </c>
      <c r="D275" s="5" t="s">
        <v>30</v>
      </c>
      <c r="E275" s="5" t="s">
        <v>114</v>
      </c>
      <c r="F275" s="5"/>
      <c r="G275" s="562">
        <f>G277</f>
        <v>2256.7440000000001</v>
      </c>
      <c r="H275" s="562"/>
      <c r="I275" s="287">
        <f>I277</f>
        <v>2256.7440000000001</v>
      </c>
      <c r="J275" s="682"/>
      <c r="K275" s="682"/>
      <c r="L275" s="682"/>
      <c r="M275" s="11">
        <f>M277</f>
        <v>2256.7440000000001</v>
      </c>
      <c r="N275" s="705"/>
    </row>
    <row r="276" spans="1:14" s="8" customFormat="1" ht="13.5" hidden="1" thickBot="1" x14ac:dyDescent="0.25">
      <c r="A276" s="303" t="s">
        <v>39</v>
      </c>
      <c r="B276" s="5"/>
      <c r="C276" s="5" t="s">
        <v>118</v>
      </c>
      <c r="D276" s="5" t="s">
        <v>30</v>
      </c>
      <c r="E276" s="5" t="s">
        <v>114</v>
      </c>
      <c r="F276" s="5" t="s">
        <v>115</v>
      </c>
      <c r="G276" s="562">
        <f>G277</f>
        <v>2256.7440000000001</v>
      </c>
      <c r="H276" s="562"/>
      <c r="I276" s="287">
        <f>I277</f>
        <v>2256.7440000000001</v>
      </c>
      <c r="J276" s="682"/>
      <c r="K276" s="682"/>
      <c r="L276" s="682"/>
      <c r="M276" s="11">
        <f>M277</f>
        <v>2256.7440000000001</v>
      </c>
      <c r="N276" s="705"/>
    </row>
    <row r="277" spans="1:14" s="8" customFormat="1" ht="26.25" hidden="1" thickBot="1" x14ac:dyDescent="0.25">
      <c r="A277" s="304" t="s">
        <v>135</v>
      </c>
      <c r="B277" s="130"/>
      <c r="C277" s="130" t="s">
        <v>118</v>
      </c>
      <c r="D277" s="130" t="s">
        <v>30</v>
      </c>
      <c r="E277" s="130" t="s">
        <v>114</v>
      </c>
      <c r="F277" s="130" t="s">
        <v>116</v>
      </c>
      <c r="G277" s="563">
        <v>2256.7440000000001</v>
      </c>
      <c r="H277" s="563"/>
      <c r="I277" s="538">
        <f>G277</f>
        <v>2256.7440000000001</v>
      </c>
      <c r="J277" s="683"/>
      <c r="K277" s="683"/>
      <c r="L277" s="683"/>
      <c r="M277" s="171">
        <f>I277</f>
        <v>2256.7440000000001</v>
      </c>
      <c r="N277" s="705"/>
    </row>
    <row r="278" spans="1:14" s="8" customFormat="1" ht="14.25" hidden="1" thickBot="1" x14ac:dyDescent="0.25">
      <c r="A278" s="244" t="s">
        <v>214</v>
      </c>
      <c r="B278" s="245"/>
      <c r="C278" s="245" t="s">
        <v>118</v>
      </c>
      <c r="D278" s="245" t="s">
        <v>36</v>
      </c>
      <c r="E278" s="245"/>
      <c r="F278" s="245"/>
      <c r="G278" s="559">
        <f t="shared" ref="G278:M283" si="35">G279</f>
        <v>339.4</v>
      </c>
      <c r="H278" s="559"/>
      <c r="I278" s="536">
        <f t="shared" si="35"/>
        <v>1330.9490000000001</v>
      </c>
      <c r="J278" s="679"/>
      <c r="K278" s="679"/>
      <c r="L278" s="679"/>
      <c r="M278" s="247">
        <f t="shared" si="35"/>
        <v>0</v>
      </c>
      <c r="N278" s="702"/>
    </row>
    <row r="279" spans="1:14" s="8" customFormat="1" ht="51.75" hidden="1" thickBot="1" x14ac:dyDescent="0.25">
      <c r="A279" s="488" t="s">
        <v>399</v>
      </c>
      <c r="B279" s="186"/>
      <c r="C279" s="272" t="s">
        <v>118</v>
      </c>
      <c r="D279" s="272" t="s">
        <v>36</v>
      </c>
      <c r="E279" s="272" t="s">
        <v>38</v>
      </c>
      <c r="F279" s="186"/>
      <c r="G279" s="566">
        <f t="shared" si="35"/>
        <v>339.4</v>
      </c>
      <c r="H279" s="566"/>
      <c r="I279" s="541">
        <f t="shared" si="35"/>
        <v>1330.9490000000001</v>
      </c>
      <c r="J279" s="685"/>
      <c r="K279" s="685"/>
      <c r="L279" s="685"/>
      <c r="M279" s="273">
        <f t="shared" si="35"/>
        <v>0</v>
      </c>
      <c r="N279" s="703"/>
    </row>
    <row r="280" spans="1:14" s="276" customFormat="1" ht="14.25" hidden="1" thickBot="1" x14ac:dyDescent="0.25">
      <c r="A280" s="89" t="s">
        <v>410</v>
      </c>
      <c r="B280" s="194"/>
      <c r="C280" s="112" t="s">
        <v>118</v>
      </c>
      <c r="D280" s="112" t="s">
        <v>36</v>
      </c>
      <c r="E280" s="112" t="s">
        <v>338</v>
      </c>
      <c r="F280" s="112"/>
      <c r="G280" s="561">
        <f t="shared" si="35"/>
        <v>339.4</v>
      </c>
      <c r="H280" s="561"/>
      <c r="I280" s="333">
        <f t="shared" si="35"/>
        <v>1330.9490000000001</v>
      </c>
      <c r="J280" s="681"/>
      <c r="K280" s="681"/>
      <c r="L280" s="681"/>
      <c r="M280" s="253">
        <f t="shared" si="35"/>
        <v>0</v>
      </c>
      <c r="N280" s="704"/>
    </row>
    <row r="281" spans="1:14" s="8" customFormat="1" ht="24.75" hidden="1" customHeight="1" x14ac:dyDescent="0.2">
      <c r="A281" s="9" t="s">
        <v>339</v>
      </c>
      <c r="B281" s="5"/>
      <c r="C281" s="5" t="s">
        <v>118</v>
      </c>
      <c r="D281" s="5" t="s">
        <v>36</v>
      </c>
      <c r="E281" s="5" t="s">
        <v>342</v>
      </c>
      <c r="F281" s="5"/>
      <c r="G281" s="562">
        <f t="shared" si="35"/>
        <v>339.4</v>
      </c>
      <c r="H281" s="562"/>
      <c r="I281" s="287">
        <f t="shared" si="35"/>
        <v>1330.9490000000001</v>
      </c>
      <c r="J281" s="682"/>
      <c r="K281" s="682"/>
      <c r="L281" s="682"/>
      <c r="M281" s="11">
        <f t="shared" si="35"/>
        <v>0</v>
      </c>
      <c r="N281" s="705"/>
    </row>
    <row r="282" spans="1:14" s="8" customFormat="1" ht="13.5" hidden="1" thickBot="1" x14ac:dyDescent="0.25">
      <c r="A282" s="9" t="s">
        <v>340</v>
      </c>
      <c r="B282" s="5"/>
      <c r="C282" s="5" t="s">
        <v>118</v>
      </c>
      <c r="D282" s="5" t="s">
        <v>36</v>
      </c>
      <c r="E282" s="5" t="s">
        <v>341</v>
      </c>
      <c r="F282" s="5"/>
      <c r="G282" s="562">
        <f t="shared" si="35"/>
        <v>339.4</v>
      </c>
      <c r="H282" s="562"/>
      <c r="I282" s="287">
        <f t="shared" si="35"/>
        <v>1330.9490000000001</v>
      </c>
      <c r="J282" s="682"/>
      <c r="K282" s="682"/>
      <c r="L282" s="682"/>
      <c r="M282" s="11">
        <f t="shared" si="35"/>
        <v>0</v>
      </c>
      <c r="N282" s="705"/>
    </row>
    <row r="283" spans="1:14" s="8" customFormat="1" ht="13.5" hidden="1" thickBot="1" x14ac:dyDescent="0.25">
      <c r="A283" s="303" t="s">
        <v>39</v>
      </c>
      <c r="B283" s="5"/>
      <c r="C283" s="5" t="s">
        <v>118</v>
      </c>
      <c r="D283" s="5" t="s">
        <v>36</v>
      </c>
      <c r="E283" s="5" t="s">
        <v>341</v>
      </c>
      <c r="F283" s="5" t="s">
        <v>115</v>
      </c>
      <c r="G283" s="562">
        <f t="shared" si="35"/>
        <v>339.4</v>
      </c>
      <c r="H283" s="562"/>
      <c r="I283" s="287">
        <f t="shared" si="35"/>
        <v>1330.9490000000001</v>
      </c>
      <c r="J283" s="682"/>
      <c r="K283" s="682"/>
      <c r="L283" s="682"/>
      <c r="M283" s="11">
        <f t="shared" si="35"/>
        <v>0</v>
      </c>
      <c r="N283" s="705"/>
    </row>
    <row r="284" spans="1:14" s="8" customFormat="1" ht="26.25" hidden="1" thickBot="1" x14ac:dyDescent="0.25">
      <c r="A284" s="303" t="s">
        <v>135</v>
      </c>
      <c r="B284" s="5"/>
      <c r="C284" s="5" t="s">
        <v>118</v>
      </c>
      <c r="D284" s="5" t="s">
        <v>36</v>
      </c>
      <c r="E284" s="5" t="s">
        <v>341</v>
      </c>
      <c r="F284" s="5" t="s">
        <v>116</v>
      </c>
      <c r="G284" s="562">
        <v>339.4</v>
      </c>
      <c r="H284" s="562"/>
      <c r="I284" s="287">
        <v>1330.9490000000001</v>
      </c>
      <c r="J284" s="682"/>
      <c r="K284" s="682"/>
      <c r="L284" s="682"/>
      <c r="M284" s="11">
        <v>0</v>
      </c>
      <c r="N284" s="705"/>
    </row>
    <row r="285" spans="1:14" s="8" customFormat="1" ht="14.25" thickBot="1" x14ac:dyDescent="0.25">
      <c r="A285" s="244" t="s">
        <v>136</v>
      </c>
      <c r="B285" s="245"/>
      <c r="C285" s="245" t="s">
        <v>29</v>
      </c>
      <c r="D285" s="245"/>
      <c r="E285" s="245"/>
      <c r="F285" s="245"/>
      <c r="G285" s="559">
        <f>G286</f>
        <v>74019.06</v>
      </c>
      <c r="H285" s="716">
        <f>G285/G20</f>
        <v>0.17426838241610154</v>
      </c>
      <c r="I285" s="536">
        <f>I286</f>
        <v>74019.06</v>
      </c>
      <c r="J285" s="719">
        <f>I285/I20</f>
        <v>0.24600318567671522</v>
      </c>
      <c r="K285" s="264">
        <f>M285</f>
        <v>74019.06</v>
      </c>
      <c r="L285" s="719">
        <f>K285/K20</f>
        <v>0.23426367989508484</v>
      </c>
      <c r="M285" s="246">
        <f>M286</f>
        <v>74019.06</v>
      </c>
      <c r="N285" s="702"/>
    </row>
    <row r="286" spans="1:14" s="276" customFormat="1" ht="14.25" hidden="1" thickBot="1" x14ac:dyDescent="0.25">
      <c r="A286" s="277" t="s">
        <v>28</v>
      </c>
      <c r="B286" s="485"/>
      <c r="C286" s="268" t="s">
        <v>29</v>
      </c>
      <c r="D286" s="268" t="s">
        <v>30</v>
      </c>
      <c r="E286" s="268"/>
      <c r="F286" s="268"/>
      <c r="G286" s="565">
        <f t="shared" ref="G286:M287" si="36">G287</f>
        <v>74019.06</v>
      </c>
      <c r="H286" s="565"/>
      <c r="I286" s="540">
        <f t="shared" si="36"/>
        <v>74019.06</v>
      </c>
      <c r="J286" s="684"/>
      <c r="K286" s="684"/>
      <c r="L286" s="684"/>
      <c r="M286" s="269">
        <f t="shared" si="36"/>
        <v>74019.06</v>
      </c>
      <c r="N286" s="702"/>
    </row>
    <row r="287" spans="1:14" s="8" customFormat="1" ht="40.5" hidden="1" customHeight="1" x14ac:dyDescent="0.2">
      <c r="A287" s="278" t="s">
        <v>370</v>
      </c>
      <c r="B287" s="486"/>
      <c r="C287" s="272" t="s">
        <v>29</v>
      </c>
      <c r="D287" s="272" t="s">
        <v>30</v>
      </c>
      <c r="E287" s="272" t="s">
        <v>25</v>
      </c>
      <c r="F287" s="272"/>
      <c r="G287" s="566">
        <f t="shared" si="36"/>
        <v>74019.06</v>
      </c>
      <c r="H287" s="566"/>
      <c r="I287" s="541">
        <f t="shared" si="36"/>
        <v>74019.06</v>
      </c>
      <c r="J287" s="685"/>
      <c r="K287" s="685"/>
      <c r="L287" s="685"/>
      <c r="M287" s="273">
        <f t="shared" si="36"/>
        <v>74019.06</v>
      </c>
      <c r="N287" s="703"/>
    </row>
    <row r="288" spans="1:14" s="8" customFormat="1" ht="12.75" hidden="1" x14ac:dyDescent="0.2">
      <c r="A288" s="89" t="s">
        <v>232</v>
      </c>
      <c r="B288" s="487"/>
      <c r="C288" s="112" t="s">
        <v>29</v>
      </c>
      <c r="D288" s="112" t="s">
        <v>30</v>
      </c>
      <c r="E288" s="112" t="s">
        <v>279</v>
      </c>
      <c r="F288" s="112"/>
      <c r="G288" s="561">
        <f>SUM(G289)</f>
        <v>74019.06</v>
      </c>
      <c r="H288" s="561"/>
      <c r="I288" s="333">
        <f>SUM(I289)</f>
        <v>74019.06</v>
      </c>
      <c r="J288" s="681"/>
      <c r="K288" s="681"/>
      <c r="L288" s="681"/>
      <c r="M288" s="253">
        <f>SUM(M289)</f>
        <v>74019.06</v>
      </c>
      <c r="N288" s="704"/>
    </row>
    <row r="289" spans="1:14" s="8" customFormat="1" ht="25.5" hidden="1" x14ac:dyDescent="0.2">
      <c r="A289" s="9" t="s">
        <v>280</v>
      </c>
      <c r="B289" s="487"/>
      <c r="C289" s="5" t="s">
        <v>29</v>
      </c>
      <c r="D289" s="5" t="s">
        <v>30</v>
      </c>
      <c r="E289" s="5" t="s">
        <v>281</v>
      </c>
      <c r="F289" s="112"/>
      <c r="G289" s="562">
        <f>G290+G297</f>
        <v>74019.06</v>
      </c>
      <c r="H289" s="562"/>
      <c r="I289" s="287">
        <f>I290+I297</f>
        <v>74019.06</v>
      </c>
      <c r="J289" s="682"/>
      <c r="K289" s="682"/>
      <c r="L289" s="682"/>
      <c r="M289" s="11">
        <f>M290+M297</f>
        <v>74019.06</v>
      </c>
      <c r="N289" s="705"/>
    </row>
    <row r="290" spans="1:14" s="8" customFormat="1" ht="25.5" hidden="1" x14ac:dyDescent="0.2">
      <c r="A290" s="9" t="s">
        <v>26</v>
      </c>
      <c r="B290" s="288"/>
      <c r="C290" s="5" t="s">
        <v>29</v>
      </c>
      <c r="D290" s="5" t="s">
        <v>30</v>
      </c>
      <c r="E290" s="5" t="s">
        <v>282</v>
      </c>
      <c r="F290" s="5"/>
      <c r="G290" s="562">
        <f>G291+G293+G295</f>
        <v>73269.06</v>
      </c>
      <c r="H290" s="562"/>
      <c r="I290" s="287">
        <f>I291+I293+I295</f>
        <v>73269.06</v>
      </c>
      <c r="J290" s="682"/>
      <c r="K290" s="682"/>
      <c r="L290" s="682"/>
      <c r="M290" s="11">
        <f>M291+M293+M295</f>
        <v>73269.06</v>
      </c>
      <c r="N290" s="705"/>
    </row>
    <row r="291" spans="1:14" s="8" customFormat="1" ht="51" hidden="1" x14ac:dyDescent="0.2">
      <c r="A291" s="10" t="s">
        <v>409</v>
      </c>
      <c r="B291" s="288"/>
      <c r="C291" s="5" t="s">
        <v>29</v>
      </c>
      <c r="D291" s="5" t="s">
        <v>30</v>
      </c>
      <c r="E291" s="5" t="s">
        <v>282</v>
      </c>
      <c r="F291" s="5" t="s">
        <v>72</v>
      </c>
      <c r="G291" s="577">
        <f>G292</f>
        <v>33997.06</v>
      </c>
      <c r="H291" s="577"/>
      <c r="I291" s="548">
        <f>I292</f>
        <v>33997.06</v>
      </c>
      <c r="J291" s="693"/>
      <c r="K291" s="693"/>
      <c r="L291" s="693"/>
      <c r="M291" s="84">
        <f>M292</f>
        <v>33997.06</v>
      </c>
      <c r="N291" s="709"/>
    </row>
    <row r="292" spans="1:14" s="8" customFormat="1" ht="12.75" hidden="1" x14ac:dyDescent="0.2">
      <c r="A292" s="10" t="s">
        <v>133</v>
      </c>
      <c r="B292" s="288"/>
      <c r="C292" s="5" t="s">
        <v>29</v>
      </c>
      <c r="D292" s="5" t="s">
        <v>30</v>
      </c>
      <c r="E292" s="5" t="s">
        <v>282</v>
      </c>
      <c r="F292" s="5" t="s">
        <v>134</v>
      </c>
      <c r="G292" s="577">
        <f>25270+80+7631.5+780+235.56</f>
        <v>33997.06</v>
      </c>
      <c r="H292" s="577"/>
      <c r="I292" s="548">
        <f>G292</f>
        <v>33997.06</v>
      </c>
      <c r="J292" s="693"/>
      <c r="K292" s="693"/>
      <c r="L292" s="693"/>
      <c r="M292" s="84">
        <f>I292</f>
        <v>33997.06</v>
      </c>
      <c r="N292" s="709"/>
    </row>
    <row r="293" spans="1:14" s="8" customFormat="1" ht="25.5" hidden="1" x14ac:dyDescent="0.2">
      <c r="A293" s="10" t="s">
        <v>31</v>
      </c>
      <c r="B293" s="288"/>
      <c r="C293" s="5" t="s">
        <v>29</v>
      </c>
      <c r="D293" s="5" t="s">
        <v>30</v>
      </c>
      <c r="E293" s="5" t="s">
        <v>282</v>
      </c>
      <c r="F293" s="5" t="s">
        <v>66</v>
      </c>
      <c r="G293" s="577">
        <f>G294</f>
        <v>39247</v>
      </c>
      <c r="H293" s="577"/>
      <c r="I293" s="548">
        <f>I294</f>
        <v>39247</v>
      </c>
      <c r="J293" s="693"/>
      <c r="K293" s="693"/>
      <c r="L293" s="693"/>
      <c r="M293" s="84">
        <f>M294</f>
        <v>39247</v>
      </c>
      <c r="N293" s="709"/>
    </row>
    <row r="294" spans="1:14" s="8" customFormat="1" ht="25.5" hidden="1" x14ac:dyDescent="0.2">
      <c r="A294" s="10" t="s">
        <v>67</v>
      </c>
      <c r="B294" s="288"/>
      <c r="C294" s="5" t="s">
        <v>29</v>
      </c>
      <c r="D294" s="5" t="s">
        <v>30</v>
      </c>
      <c r="E294" s="5" t="s">
        <v>282</v>
      </c>
      <c r="F294" s="5" t="s">
        <v>68</v>
      </c>
      <c r="G294" s="577">
        <f>103.2+150+2620+29132+2429.9+2585.5+447+179.4+1700-100</f>
        <v>39247</v>
      </c>
      <c r="H294" s="577"/>
      <c r="I294" s="548">
        <f>G294</f>
        <v>39247</v>
      </c>
      <c r="J294" s="693"/>
      <c r="K294" s="693"/>
      <c r="L294" s="693"/>
      <c r="M294" s="84">
        <f>I294</f>
        <v>39247</v>
      </c>
      <c r="N294" s="709"/>
    </row>
    <row r="295" spans="1:14" s="8" customFormat="1" ht="12.75" hidden="1" x14ac:dyDescent="0.2">
      <c r="A295" s="10" t="s">
        <v>33</v>
      </c>
      <c r="B295" s="288"/>
      <c r="C295" s="5" t="s">
        <v>29</v>
      </c>
      <c r="D295" s="5" t="s">
        <v>30</v>
      </c>
      <c r="E295" s="5" t="s">
        <v>282</v>
      </c>
      <c r="F295" s="5" t="s">
        <v>137</v>
      </c>
      <c r="G295" s="577">
        <f>G296</f>
        <v>25</v>
      </c>
      <c r="H295" s="577"/>
      <c r="I295" s="548">
        <f>I296</f>
        <v>25</v>
      </c>
      <c r="J295" s="693"/>
      <c r="K295" s="693"/>
      <c r="L295" s="693"/>
      <c r="M295" s="84">
        <f>M296</f>
        <v>25</v>
      </c>
      <c r="N295" s="709"/>
    </row>
    <row r="296" spans="1:14" s="8" customFormat="1" ht="12.75" hidden="1" x14ac:dyDescent="0.2">
      <c r="A296" s="10" t="s">
        <v>76</v>
      </c>
      <c r="B296" s="288"/>
      <c r="C296" s="5" t="s">
        <v>29</v>
      </c>
      <c r="D296" s="5" t="s">
        <v>30</v>
      </c>
      <c r="E296" s="5" t="s">
        <v>282</v>
      </c>
      <c r="F296" s="5" t="s">
        <v>77</v>
      </c>
      <c r="G296" s="577">
        <f>25</f>
        <v>25</v>
      </c>
      <c r="H296" s="577"/>
      <c r="I296" s="548">
        <f>G296</f>
        <v>25</v>
      </c>
      <c r="J296" s="693"/>
      <c r="K296" s="693"/>
      <c r="L296" s="693"/>
      <c r="M296" s="84">
        <f>I296</f>
        <v>25</v>
      </c>
      <c r="N296" s="709"/>
    </row>
    <row r="297" spans="1:14" s="8" customFormat="1" ht="25.5" hidden="1" x14ac:dyDescent="0.2">
      <c r="A297" s="9" t="s">
        <v>34</v>
      </c>
      <c r="B297" s="288"/>
      <c r="C297" s="5" t="s">
        <v>29</v>
      </c>
      <c r="D297" s="5" t="s">
        <v>30</v>
      </c>
      <c r="E297" s="5" t="s">
        <v>283</v>
      </c>
      <c r="F297" s="5"/>
      <c r="G297" s="577">
        <f t="shared" ref="G297:M298" si="37">G298</f>
        <v>750</v>
      </c>
      <c r="H297" s="577"/>
      <c r="I297" s="548">
        <f t="shared" si="37"/>
        <v>750</v>
      </c>
      <c r="J297" s="693"/>
      <c r="K297" s="693"/>
      <c r="L297" s="693"/>
      <c r="M297" s="84">
        <f t="shared" si="37"/>
        <v>750</v>
      </c>
      <c r="N297" s="709"/>
    </row>
    <row r="298" spans="1:14" s="8" customFormat="1" ht="25.5" hidden="1" x14ac:dyDescent="0.2">
      <c r="A298" s="10" t="s">
        <v>31</v>
      </c>
      <c r="B298" s="288"/>
      <c r="C298" s="5" t="s">
        <v>29</v>
      </c>
      <c r="D298" s="5" t="s">
        <v>30</v>
      </c>
      <c r="E298" s="5" t="s">
        <v>283</v>
      </c>
      <c r="F298" s="5" t="s">
        <v>66</v>
      </c>
      <c r="G298" s="577">
        <f t="shared" si="37"/>
        <v>750</v>
      </c>
      <c r="H298" s="577"/>
      <c r="I298" s="548">
        <f t="shared" si="37"/>
        <v>750</v>
      </c>
      <c r="J298" s="693"/>
      <c r="K298" s="693"/>
      <c r="L298" s="693"/>
      <c r="M298" s="84">
        <f t="shared" si="37"/>
        <v>750</v>
      </c>
      <c r="N298" s="709"/>
    </row>
    <row r="299" spans="1:14" s="8" customFormat="1" ht="25.5" hidden="1" x14ac:dyDescent="0.2">
      <c r="A299" s="10" t="s">
        <v>67</v>
      </c>
      <c r="B299" s="288"/>
      <c r="C299" s="5" t="s">
        <v>29</v>
      </c>
      <c r="D299" s="5" t="s">
        <v>30</v>
      </c>
      <c r="E299" s="5" t="s">
        <v>283</v>
      </c>
      <c r="F299" s="5" t="s">
        <v>68</v>
      </c>
      <c r="G299" s="577">
        <f>150+150+450</f>
        <v>750</v>
      </c>
      <c r="H299" s="577"/>
      <c r="I299" s="548">
        <f>G299</f>
        <v>750</v>
      </c>
      <c r="J299" s="693"/>
      <c r="K299" s="693"/>
      <c r="L299" s="693"/>
      <c r="M299" s="84">
        <f>I299</f>
        <v>750</v>
      </c>
      <c r="N299" s="709"/>
    </row>
    <row r="300" spans="1:14" s="237" customFormat="1" ht="39" hidden="1" thickBot="1" x14ac:dyDescent="0.25">
      <c r="A300" s="153" t="s">
        <v>400</v>
      </c>
      <c r="B300" s="172" t="s">
        <v>142</v>
      </c>
      <c r="C300" s="210"/>
      <c r="D300" s="210"/>
      <c r="E300" s="210"/>
      <c r="F300" s="210"/>
      <c r="G300" s="556">
        <f>G301</f>
        <v>6997.23945</v>
      </c>
      <c r="H300" s="556"/>
      <c r="I300" s="533">
        <f>I301</f>
        <v>6698.73945</v>
      </c>
      <c r="J300" s="677"/>
      <c r="K300" s="677"/>
      <c r="L300" s="677"/>
      <c r="M300" s="236">
        <f>M301</f>
        <v>6698.73945</v>
      </c>
      <c r="N300" s="700"/>
    </row>
    <row r="301" spans="1:14" s="237" customFormat="1" ht="14.25" hidden="1" thickBot="1" x14ac:dyDescent="0.25">
      <c r="A301" s="277" t="s">
        <v>120</v>
      </c>
      <c r="B301" s="268"/>
      <c r="C301" s="268" t="s">
        <v>30</v>
      </c>
      <c r="D301" s="266"/>
      <c r="E301" s="266"/>
      <c r="F301" s="266"/>
      <c r="G301" s="578">
        <f>G302+G309</f>
        <v>6997.23945</v>
      </c>
      <c r="H301" s="578"/>
      <c r="I301" s="549">
        <f>I302+I309</f>
        <v>6698.73945</v>
      </c>
      <c r="J301" s="694"/>
      <c r="K301" s="694"/>
      <c r="L301" s="694"/>
      <c r="M301" s="489">
        <f>M302+M309</f>
        <v>6698.73945</v>
      </c>
      <c r="N301" s="701"/>
    </row>
    <row r="302" spans="1:14" s="248" customFormat="1" ht="27.75" hidden="1" thickBot="1" x14ac:dyDescent="0.3">
      <c r="A302" s="244" t="s">
        <v>148</v>
      </c>
      <c r="B302" s="245"/>
      <c r="C302" s="245" t="s">
        <v>30</v>
      </c>
      <c r="D302" s="245" t="s">
        <v>58</v>
      </c>
      <c r="E302" s="245"/>
      <c r="F302" s="245"/>
      <c r="G302" s="559">
        <f t="shared" ref="G302:M303" si="38">G303</f>
        <v>4549.741</v>
      </c>
      <c r="H302" s="559"/>
      <c r="I302" s="536">
        <f t="shared" si="38"/>
        <v>4549.741</v>
      </c>
      <c r="J302" s="679"/>
      <c r="K302" s="679"/>
      <c r="L302" s="679"/>
      <c r="M302" s="247">
        <f t="shared" si="38"/>
        <v>4549.741</v>
      </c>
      <c r="N302" s="702"/>
    </row>
    <row r="303" spans="1:14" s="248" customFormat="1" ht="38.25" hidden="1" x14ac:dyDescent="0.25">
      <c r="A303" s="278" t="s">
        <v>10</v>
      </c>
      <c r="B303" s="272"/>
      <c r="C303" s="272" t="s">
        <v>30</v>
      </c>
      <c r="D303" s="272" t="s">
        <v>58</v>
      </c>
      <c r="E303" s="272" t="s">
        <v>11</v>
      </c>
      <c r="F303" s="272"/>
      <c r="G303" s="566">
        <f t="shared" si="38"/>
        <v>4549.741</v>
      </c>
      <c r="H303" s="566"/>
      <c r="I303" s="541">
        <f t="shared" si="38"/>
        <v>4549.741</v>
      </c>
      <c r="J303" s="685"/>
      <c r="K303" s="685"/>
      <c r="L303" s="685"/>
      <c r="M303" s="273">
        <f t="shared" si="38"/>
        <v>4549.741</v>
      </c>
      <c r="N303" s="703"/>
    </row>
    <row r="304" spans="1:14" s="248" customFormat="1" ht="13.5" hidden="1" x14ac:dyDescent="0.25">
      <c r="A304" s="89" t="s">
        <v>149</v>
      </c>
      <c r="B304" s="112"/>
      <c r="C304" s="112" t="s">
        <v>30</v>
      </c>
      <c r="D304" s="112" t="s">
        <v>58</v>
      </c>
      <c r="E304" s="112" t="s">
        <v>139</v>
      </c>
      <c r="F304" s="112"/>
      <c r="G304" s="561">
        <f>SUM(G305)</f>
        <v>4549.741</v>
      </c>
      <c r="H304" s="561"/>
      <c r="I304" s="333">
        <f>SUM(I305)</f>
        <v>4549.741</v>
      </c>
      <c r="J304" s="681"/>
      <c r="K304" s="681"/>
      <c r="L304" s="681"/>
      <c r="M304" s="253">
        <f>SUM(M305)</f>
        <v>4549.741</v>
      </c>
      <c r="N304" s="704"/>
    </row>
    <row r="305" spans="1:14" s="248" customFormat="1" ht="13.5" hidden="1" x14ac:dyDescent="0.25">
      <c r="A305" s="9" t="s">
        <v>13</v>
      </c>
      <c r="B305" s="254"/>
      <c r="C305" s="5" t="s">
        <v>30</v>
      </c>
      <c r="D305" s="5" t="s">
        <v>58</v>
      </c>
      <c r="E305" s="5" t="s">
        <v>140</v>
      </c>
      <c r="F305" s="254"/>
      <c r="G305" s="562">
        <f t="shared" ref="G305:M307" si="39">G306</f>
        <v>4549.741</v>
      </c>
      <c r="H305" s="562"/>
      <c r="I305" s="287">
        <f t="shared" si="39"/>
        <v>4549.741</v>
      </c>
      <c r="J305" s="682"/>
      <c r="K305" s="682"/>
      <c r="L305" s="682"/>
      <c r="M305" s="11">
        <f t="shared" si="39"/>
        <v>4549.741</v>
      </c>
      <c r="N305" s="705"/>
    </row>
    <row r="306" spans="1:14" s="237" customFormat="1" ht="12.75" hidden="1" x14ac:dyDescent="0.2">
      <c r="A306" s="9" t="s">
        <v>149</v>
      </c>
      <c r="B306" s="5"/>
      <c r="C306" s="5" t="s">
        <v>30</v>
      </c>
      <c r="D306" s="5" t="s">
        <v>58</v>
      </c>
      <c r="E306" s="5" t="s">
        <v>141</v>
      </c>
      <c r="F306" s="254"/>
      <c r="G306" s="562">
        <f t="shared" si="39"/>
        <v>4549.741</v>
      </c>
      <c r="H306" s="562"/>
      <c r="I306" s="287">
        <f t="shared" si="39"/>
        <v>4549.741</v>
      </c>
      <c r="J306" s="682"/>
      <c r="K306" s="682"/>
      <c r="L306" s="682"/>
      <c r="M306" s="11">
        <f t="shared" si="39"/>
        <v>4549.741</v>
      </c>
      <c r="N306" s="705"/>
    </row>
    <row r="307" spans="1:14" s="237" customFormat="1" ht="51" hidden="1" x14ac:dyDescent="0.2">
      <c r="A307" s="10" t="s">
        <v>409</v>
      </c>
      <c r="B307" s="5"/>
      <c r="C307" s="5" t="s">
        <v>30</v>
      </c>
      <c r="D307" s="5" t="s">
        <v>58</v>
      </c>
      <c r="E307" s="5" t="s">
        <v>141</v>
      </c>
      <c r="F307" s="5" t="s">
        <v>72</v>
      </c>
      <c r="G307" s="562">
        <f t="shared" si="39"/>
        <v>4549.741</v>
      </c>
      <c r="H307" s="562"/>
      <c r="I307" s="287">
        <f t="shared" si="39"/>
        <v>4549.741</v>
      </c>
      <c r="J307" s="682"/>
      <c r="K307" s="682"/>
      <c r="L307" s="682"/>
      <c r="M307" s="11">
        <f t="shared" si="39"/>
        <v>4549.741</v>
      </c>
      <c r="N307" s="705"/>
    </row>
    <row r="308" spans="1:14" s="237" customFormat="1" ht="25.5" hidden="1" x14ac:dyDescent="0.2">
      <c r="A308" s="10" t="s">
        <v>73</v>
      </c>
      <c r="B308" s="5"/>
      <c r="C308" s="5" t="s">
        <v>30</v>
      </c>
      <c r="D308" s="5" t="s">
        <v>58</v>
      </c>
      <c r="E308" s="5" t="s">
        <v>141</v>
      </c>
      <c r="F308" s="5" t="s">
        <v>74</v>
      </c>
      <c r="G308" s="562">
        <v>4549.741</v>
      </c>
      <c r="H308" s="562"/>
      <c r="I308" s="287">
        <f>G308</f>
        <v>4549.741</v>
      </c>
      <c r="J308" s="682"/>
      <c r="K308" s="682"/>
      <c r="L308" s="682"/>
      <c r="M308" s="11">
        <f>I308</f>
        <v>4549.741</v>
      </c>
      <c r="N308" s="705"/>
    </row>
    <row r="309" spans="1:14" s="305" customFormat="1" ht="41.25" hidden="1" thickBot="1" x14ac:dyDescent="0.3">
      <c r="A309" s="490" t="s">
        <v>405</v>
      </c>
      <c r="B309" s="261"/>
      <c r="C309" s="245" t="s">
        <v>30</v>
      </c>
      <c r="D309" s="245" t="s">
        <v>40</v>
      </c>
      <c r="E309" s="261"/>
      <c r="F309" s="261"/>
      <c r="G309" s="559">
        <f>G310+G316</f>
        <v>2447.49845</v>
      </c>
      <c r="H309" s="559"/>
      <c r="I309" s="536">
        <f>I310+I316</f>
        <v>2148.99845</v>
      </c>
      <c r="J309" s="679"/>
      <c r="K309" s="679"/>
      <c r="L309" s="679"/>
      <c r="M309" s="247">
        <f>M310+M316</f>
        <v>2148.99845</v>
      </c>
      <c r="N309" s="702"/>
    </row>
    <row r="310" spans="1:14" s="231" customFormat="1" ht="38.25" hidden="1" x14ac:dyDescent="0.25">
      <c r="A310" s="491" t="s">
        <v>10</v>
      </c>
      <c r="B310" s="250"/>
      <c r="C310" s="250" t="s">
        <v>30</v>
      </c>
      <c r="D310" s="250" t="s">
        <v>40</v>
      </c>
      <c r="E310" s="492" t="s">
        <v>11</v>
      </c>
      <c r="F310" s="250"/>
      <c r="G310" s="560">
        <f t="shared" ref="G310:M314" si="40">G311</f>
        <v>1488.99845</v>
      </c>
      <c r="H310" s="560"/>
      <c r="I310" s="537">
        <f t="shared" si="40"/>
        <v>1488.99845</v>
      </c>
      <c r="J310" s="680"/>
      <c r="K310" s="680"/>
      <c r="L310" s="680"/>
      <c r="M310" s="251">
        <f t="shared" si="40"/>
        <v>1488.99845</v>
      </c>
      <c r="N310" s="703"/>
    </row>
    <row r="311" spans="1:14" s="305" customFormat="1" ht="38.25" hidden="1" x14ac:dyDescent="0.25">
      <c r="A311" s="493" t="s">
        <v>408</v>
      </c>
      <c r="B311" s="494"/>
      <c r="C311" s="112" t="s">
        <v>30</v>
      </c>
      <c r="D311" s="112" t="s">
        <v>40</v>
      </c>
      <c r="E311" s="495" t="s">
        <v>12</v>
      </c>
      <c r="F311" s="494"/>
      <c r="G311" s="579">
        <f t="shared" si="40"/>
        <v>1488.99845</v>
      </c>
      <c r="H311" s="579"/>
      <c r="I311" s="550">
        <f t="shared" si="40"/>
        <v>1488.99845</v>
      </c>
      <c r="J311" s="695"/>
      <c r="K311" s="695"/>
      <c r="L311" s="695"/>
      <c r="M311" s="496">
        <f t="shared" si="40"/>
        <v>1488.99845</v>
      </c>
      <c r="N311" s="710"/>
    </row>
    <row r="312" spans="1:14" hidden="1" x14ac:dyDescent="0.25">
      <c r="A312" s="497" t="s">
        <v>406</v>
      </c>
      <c r="B312" s="498"/>
      <c r="C312" s="5" t="s">
        <v>30</v>
      </c>
      <c r="D312" s="5" t="s">
        <v>40</v>
      </c>
      <c r="E312" s="499" t="s">
        <v>14</v>
      </c>
      <c r="F312" s="498"/>
      <c r="G312" s="580">
        <f t="shared" si="40"/>
        <v>1488.99845</v>
      </c>
      <c r="H312" s="580"/>
      <c r="I312" s="551">
        <f t="shared" si="40"/>
        <v>1488.99845</v>
      </c>
      <c r="J312" s="696"/>
      <c r="K312" s="696"/>
      <c r="L312" s="696"/>
      <c r="M312" s="500">
        <f t="shared" si="40"/>
        <v>1488.99845</v>
      </c>
      <c r="N312" s="711"/>
    </row>
    <row r="313" spans="1:14" hidden="1" x14ac:dyDescent="0.25">
      <c r="A313" s="497" t="s">
        <v>70</v>
      </c>
      <c r="B313" s="498"/>
      <c r="C313" s="5" t="s">
        <v>30</v>
      </c>
      <c r="D313" s="5" t="s">
        <v>40</v>
      </c>
      <c r="E313" s="499" t="s">
        <v>71</v>
      </c>
      <c r="F313" s="498"/>
      <c r="G313" s="580">
        <f t="shared" si="40"/>
        <v>1488.99845</v>
      </c>
      <c r="H313" s="580"/>
      <c r="I313" s="551">
        <f t="shared" si="40"/>
        <v>1488.99845</v>
      </c>
      <c r="J313" s="696"/>
      <c r="K313" s="696"/>
      <c r="L313" s="696"/>
      <c r="M313" s="500">
        <f t="shared" si="40"/>
        <v>1488.99845</v>
      </c>
      <c r="N313" s="711"/>
    </row>
    <row r="314" spans="1:14" ht="51" hidden="1" x14ac:dyDescent="0.25">
      <c r="A314" s="501" t="s">
        <v>407</v>
      </c>
      <c r="B314" s="498"/>
      <c r="C314" s="5" t="s">
        <v>30</v>
      </c>
      <c r="D314" s="5" t="s">
        <v>40</v>
      </c>
      <c r="E314" s="499" t="s">
        <v>71</v>
      </c>
      <c r="F314" s="5" t="s">
        <v>72</v>
      </c>
      <c r="G314" s="580">
        <f t="shared" si="40"/>
        <v>1488.99845</v>
      </c>
      <c r="H314" s="580"/>
      <c r="I314" s="551">
        <f t="shared" si="40"/>
        <v>1488.99845</v>
      </c>
      <c r="J314" s="696"/>
      <c r="K314" s="696"/>
      <c r="L314" s="696"/>
      <c r="M314" s="500">
        <f t="shared" si="40"/>
        <v>1488.99845</v>
      </c>
      <c r="N314" s="711"/>
    </row>
    <row r="315" spans="1:14" ht="25.5" hidden="1" x14ac:dyDescent="0.25">
      <c r="A315" s="501" t="s">
        <v>73</v>
      </c>
      <c r="B315" s="498"/>
      <c r="C315" s="5" t="s">
        <v>30</v>
      </c>
      <c r="D315" s="5" t="s">
        <v>40</v>
      </c>
      <c r="E315" s="499" t="s">
        <v>71</v>
      </c>
      <c r="F315" s="5" t="s">
        <v>74</v>
      </c>
      <c r="G315" s="580">
        <v>1488.99845</v>
      </c>
      <c r="H315" s="580"/>
      <c r="I315" s="551">
        <f>G315</f>
        <v>1488.99845</v>
      </c>
      <c r="J315" s="696"/>
      <c r="K315" s="696"/>
      <c r="L315" s="696"/>
      <c r="M315" s="500">
        <f>I315</f>
        <v>1488.99845</v>
      </c>
      <c r="N315" s="711"/>
    </row>
    <row r="316" spans="1:14" ht="25.5" hidden="1" x14ac:dyDescent="0.25">
      <c r="A316" s="10" t="s">
        <v>31</v>
      </c>
      <c r="B316" s="5"/>
      <c r="C316" s="5" t="s">
        <v>30</v>
      </c>
      <c r="D316" s="5" t="s">
        <v>40</v>
      </c>
      <c r="E316" s="499" t="s">
        <v>71</v>
      </c>
      <c r="F316" s="5" t="s">
        <v>66</v>
      </c>
      <c r="G316" s="581">
        <f>G317</f>
        <v>958.5</v>
      </c>
      <c r="H316" s="581"/>
      <c r="I316" s="552">
        <f>I317</f>
        <v>660</v>
      </c>
      <c r="J316" s="697"/>
      <c r="K316" s="697"/>
      <c r="L316" s="697"/>
      <c r="M316" s="502">
        <f>M317</f>
        <v>660</v>
      </c>
      <c r="N316" s="712"/>
    </row>
    <row r="317" spans="1:14" ht="26.25" hidden="1" thickBot="1" x14ac:dyDescent="0.3">
      <c r="A317" s="476" t="s">
        <v>67</v>
      </c>
      <c r="B317" s="105"/>
      <c r="C317" s="105" t="s">
        <v>30</v>
      </c>
      <c r="D317" s="105" t="s">
        <v>40</v>
      </c>
      <c r="E317" s="503" t="s">
        <v>71</v>
      </c>
      <c r="F317" s="105" t="s">
        <v>68</v>
      </c>
      <c r="G317" s="582">
        <f>660+298.5</f>
        <v>958.5</v>
      </c>
      <c r="H317" s="582"/>
      <c r="I317" s="553">
        <v>660</v>
      </c>
      <c r="J317" s="698"/>
      <c r="K317" s="698"/>
      <c r="L317" s="698"/>
      <c r="M317" s="504">
        <v>660</v>
      </c>
      <c r="N317" s="713"/>
    </row>
  </sheetData>
  <autoFilter ref="A20:M317" xr:uid="{00000000-0009-0000-0000-000003000000}">
    <filterColumn colId="1">
      <filters blank="1"/>
    </filterColumn>
    <filterColumn colId="3">
      <filters blank="1"/>
    </filterColumn>
  </autoFilter>
  <mergeCells count="3">
    <mergeCell ref="A15:M15"/>
    <mergeCell ref="A16:M16"/>
    <mergeCell ref="A17:M17"/>
  </mergeCells>
  <printOptions horizontalCentered="1"/>
  <pageMargins left="0" right="0" top="1.3779527559055118" bottom="0.39370078740157483" header="0" footer="0"/>
  <pageSetup paperSize="9" scale="83" fitToHeight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D2B1-E712-4D06-89FF-8703742AB845}">
  <dimension ref="A1:E20"/>
  <sheetViews>
    <sheetView workbookViewId="0">
      <selection activeCell="D11" sqref="D11"/>
    </sheetView>
  </sheetViews>
  <sheetFormatPr defaultRowHeight="12.75" x14ac:dyDescent="0.2"/>
  <cols>
    <col min="1" max="1" width="22.5703125" customWidth="1"/>
    <col min="2" max="2" width="67.42578125" customWidth="1"/>
    <col min="3" max="5" width="14.28515625" bestFit="1" customWidth="1"/>
  </cols>
  <sheetData>
    <row r="1" spans="1:5" ht="39" customHeight="1" x14ac:dyDescent="0.3">
      <c r="A1" s="783" t="s">
        <v>481</v>
      </c>
      <c r="B1" s="783"/>
      <c r="C1" s="783"/>
    </row>
    <row r="2" spans="1:5" ht="13.5" thickBot="1" x14ac:dyDescent="0.25">
      <c r="A2" s="362"/>
      <c r="B2" s="362"/>
      <c r="C2" s="368" t="s">
        <v>482</v>
      </c>
    </row>
    <row r="3" spans="1:5" ht="15.75" thickBot="1" x14ac:dyDescent="0.25">
      <c r="A3" s="357" t="s">
        <v>161</v>
      </c>
      <c r="B3" s="358" t="s">
        <v>162</v>
      </c>
      <c r="C3" s="363">
        <f>пр.2!C29</f>
        <v>102646.791</v>
      </c>
    </row>
    <row r="4" spans="1:5" ht="15.75" thickBot="1" x14ac:dyDescent="0.25">
      <c r="A4" s="360" t="s">
        <v>169</v>
      </c>
      <c r="B4" s="361" t="s">
        <v>170</v>
      </c>
      <c r="C4" s="364">
        <f>пр.2!C33</f>
        <v>67940</v>
      </c>
    </row>
    <row r="5" spans="1:5" ht="15.75" thickBot="1" x14ac:dyDescent="0.25">
      <c r="A5" s="360" t="s">
        <v>444</v>
      </c>
      <c r="B5" s="359" t="s">
        <v>199</v>
      </c>
      <c r="C5" s="364">
        <f>пр.2!C50</f>
        <v>70870.8</v>
      </c>
    </row>
    <row r="6" spans="1:5" ht="16.5" thickBot="1" x14ac:dyDescent="0.25">
      <c r="A6" s="784" t="s">
        <v>477</v>
      </c>
      <c r="B6" s="785"/>
      <c r="C6" s="365">
        <f>SUM(C3:C5)</f>
        <v>241457.59100000001</v>
      </c>
    </row>
    <row r="7" spans="1:5" ht="16.5" thickBot="1" x14ac:dyDescent="0.25">
      <c r="A7" s="784" t="s">
        <v>480</v>
      </c>
      <c r="B7" s="785"/>
      <c r="C7" s="365">
        <f>C6*0.401</f>
        <v>96824.49399100001</v>
      </c>
    </row>
    <row r="8" spans="1:5" ht="16.5" thickBot="1" x14ac:dyDescent="0.25">
      <c r="A8" s="786" t="s">
        <v>478</v>
      </c>
      <c r="B8" s="787"/>
      <c r="C8" s="366">
        <f>SUM(C9:C11)</f>
        <v>71919.037579999989</v>
      </c>
      <c r="D8" s="366">
        <f>SUM(D9:D11)</f>
        <v>67878.839030000003</v>
      </c>
      <c r="E8" s="366">
        <f>SUM(E9:E11)</f>
        <v>68387.431030000007</v>
      </c>
    </row>
    <row r="9" spans="1:5" ht="31.5" customHeight="1" thickBot="1" x14ac:dyDescent="0.25">
      <c r="A9" s="788" t="s">
        <v>148</v>
      </c>
      <c r="B9" s="789"/>
      <c r="C9" s="367">
        <f>пр.4!G320</f>
        <v>4549.741</v>
      </c>
      <c r="D9" s="367">
        <f>пр.4!H320</f>
        <v>4549.741</v>
      </c>
      <c r="E9" s="367">
        <f>пр.4!I320</f>
        <v>4549.741</v>
      </c>
    </row>
    <row r="10" spans="1:5" ht="27" customHeight="1" thickBot="1" x14ac:dyDescent="0.25">
      <c r="A10" s="788" t="s">
        <v>479</v>
      </c>
      <c r="B10" s="789"/>
      <c r="C10" s="367">
        <f>пр.4!G327</f>
        <v>2447.49845</v>
      </c>
      <c r="D10" s="367">
        <f>пр.4!H327</f>
        <v>2148.99845</v>
      </c>
      <c r="E10" s="367">
        <f>пр.4!I327</f>
        <v>2148.99845</v>
      </c>
    </row>
    <row r="11" spans="1:5" ht="27" customHeight="1" thickBot="1" x14ac:dyDescent="0.25">
      <c r="A11" s="781" t="s">
        <v>331</v>
      </c>
      <c r="B11" s="782"/>
      <c r="C11" s="584">
        <f>пр.4!G24+пр.4!G46</f>
        <v>64921.798129999996</v>
      </c>
      <c r="D11" s="584">
        <f>пр.4!H24+пр.4!H46</f>
        <v>61180.099580000002</v>
      </c>
      <c r="E11" s="584">
        <f>пр.4!I24+пр.4!I46</f>
        <v>61688.691580000006</v>
      </c>
    </row>
    <row r="12" spans="1:5" x14ac:dyDescent="0.2">
      <c r="A12" s="362"/>
      <c r="B12" s="362"/>
      <c r="C12" s="362"/>
    </row>
    <row r="13" spans="1:5" x14ac:dyDescent="0.2">
      <c r="A13" s="362"/>
      <c r="B13" s="362"/>
      <c r="C13" s="362"/>
    </row>
    <row r="14" spans="1:5" x14ac:dyDescent="0.2">
      <c r="A14" s="362"/>
      <c r="B14" s="362"/>
      <c r="C14" s="362"/>
    </row>
    <row r="15" spans="1:5" x14ac:dyDescent="0.2">
      <c r="A15" s="362"/>
      <c r="B15" s="362"/>
      <c r="C15" s="362"/>
    </row>
    <row r="16" spans="1:5" x14ac:dyDescent="0.2">
      <c r="A16" s="362"/>
      <c r="B16" s="362"/>
      <c r="C16" s="362"/>
    </row>
    <row r="17" spans="1:3" x14ac:dyDescent="0.2">
      <c r="A17" s="362"/>
      <c r="B17" s="362"/>
      <c r="C17" s="362"/>
    </row>
    <row r="18" spans="1:3" x14ac:dyDescent="0.2">
      <c r="A18" s="362"/>
      <c r="B18" s="362"/>
      <c r="C18" s="362"/>
    </row>
    <row r="19" spans="1:3" x14ac:dyDescent="0.2">
      <c r="A19" s="362"/>
      <c r="B19" s="362"/>
      <c r="C19" s="362"/>
    </row>
    <row r="20" spans="1:3" x14ac:dyDescent="0.2">
      <c r="A20" s="362"/>
      <c r="B20" s="362"/>
      <c r="C20" s="362"/>
    </row>
  </sheetData>
  <mergeCells count="7">
    <mergeCell ref="A11:B11"/>
    <mergeCell ref="A1:C1"/>
    <mergeCell ref="A6:B6"/>
    <mergeCell ref="A7:B7"/>
    <mergeCell ref="A8:B8"/>
    <mergeCell ref="A9:B9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13-8EB6-41EB-8692-1778DBB1179C}">
  <dimension ref="A1:D4"/>
  <sheetViews>
    <sheetView workbookViewId="0">
      <selection activeCell="D4" sqref="A1:D4"/>
    </sheetView>
  </sheetViews>
  <sheetFormatPr defaultRowHeight="12.75" x14ac:dyDescent="0.2"/>
  <cols>
    <col min="1" max="1" width="32.7109375" customWidth="1"/>
    <col min="2" max="4" width="14.85546875" bestFit="1" customWidth="1"/>
  </cols>
  <sheetData>
    <row r="1" spans="1:4" ht="16.5" thickBot="1" x14ac:dyDescent="0.25">
      <c r="A1" s="465" t="s">
        <v>516</v>
      </c>
      <c r="B1" s="466">
        <v>2026</v>
      </c>
      <c r="C1" s="466">
        <v>2027</v>
      </c>
      <c r="D1" s="466">
        <v>2028</v>
      </c>
    </row>
    <row r="2" spans="1:4" ht="16.5" thickBot="1" x14ac:dyDescent="0.25">
      <c r="A2" s="467" t="s">
        <v>496</v>
      </c>
      <c r="B2" s="468">
        <f>пр.2!C78</f>
        <v>423868.28249999997</v>
      </c>
      <c r="C2" s="468">
        <f>пр.2!D78</f>
        <v>290826.69328999997</v>
      </c>
      <c r="D2" s="468">
        <f>пр.2!E78</f>
        <v>316472.37599999993</v>
      </c>
    </row>
    <row r="3" spans="1:4" ht="16.5" thickBot="1" x14ac:dyDescent="0.25">
      <c r="A3" s="467" t="s">
        <v>497</v>
      </c>
      <c r="B3" s="469">
        <f>пр.4!G21</f>
        <v>543868.28249999997</v>
      </c>
      <c r="C3" s="469">
        <f>пр.4!H21+пр.1!D31</f>
        <v>310926.69329200004</v>
      </c>
      <c r="D3" s="469">
        <f>пр.4!I21+пр.1!E31</f>
        <v>337472.37600400002</v>
      </c>
    </row>
    <row r="4" spans="1:4" ht="16.5" thickBot="1" x14ac:dyDescent="0.25">
      <c r="A4" s="467" t="s">
        <v>498</v>
      </c>
      <c r="B4" s="469">
        <f>B3-B2</f>
        <v>120000</v>
      </c>
      <c r="C4" s="469">
        <f>C3-C2</f>
        <v>20100.000002000073</v>
      </c>
      <c r="D4" s="469">
        <f>D3-D2</f>
        <v>21000.000004000089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DBD9-2059-45D2-9A99-8262C60AEBE7}">
  <dimension ref="A1:I54"/>
  <sheetViews>
    <sheetView zoomScale="130" zoomScaleNormal="130" workbookViewId="0">
      <selection activeCell="F11" sqref="F11"/>
    </sheetView>
  </sheetViews>
  <sheetFormatPr defaultRowHeight="15" x14ac:dyDescent="0.25"/>
  <cols>
    <col min="1" max="1" width="61" style="373" customWidth="1"/>
    <col min="2" max="2" width="18.7109375" style="373" customWidth="1"/>
    <col min="3" max="3" width="32.28515625" style="373" bestFit="1" customWidth="1"/>
    <col min="4" max="4" width="13.140625" style="373" bestFit="1" customWidth="1"/>
    <col min="5" max="5" width="17.5703125" style="373" customWidth="1"/>
    <col min="6" max="6" width="13.140625" style="373" bestFit="1" customWidth="1"/>
    <col min="7" max="7" width="25.85546875" style="373" customWidth="1"/>
    <col min="8" max="8" width="12" style="373" bestFit="1" customWidth="1"/>
    <col min="9" max="16384" width="9.140625" style="373"/>
  </cols>
  <sheetData>
    <row r="1" spans="1:9" ht="45" x14ac:dyDescent="0.25">
      <c r="A1" s="375" t="s">
        <v>486</v>
      </c>
      <c r="B1" s="376">
        <f>пр.2!C78</f>
        <v>423868.28249999997</v>
      </c>
      <c r="C1" s="377" t="s">
        <v>483</v>
      </c>
      <c r="D1" s="377"/>
      <c r="E1" s="377"/>
      <c r="F1" s="377"/>
      <c r="G1" s="377"/>
      <c r="H1" s="377"/>
      <c r="I1" s="377"/>
    </row>
    <row r="2" spans="1:9" ht="45" x14ac:dyDescent="0.25">
      <c r="A2" s="375" t="s">
        <v>487</v>
      </c>
      <c r="B2" s="376">
        <f>пр.4!G21</f>
        <v>543868.28249999997</v>
      </c>
      <c r="C2" s="377" t="s">
        <v>483</v>
      </c>
      <c r="D2" s="377"/>
      <c r="E2" s="377"/>
      <c r="F2" s="377"/>
      <c r="G2" s="377"/>
      <c r="H2" s="377"/>
      <c r="I2" s="377"/>
    </row>
    <row r="3" spans="1:9" ht="45" x14ac:dyDescent="0.25">
      <c r="A3" s="375" t="s">
        <v>485</v>
      </c>
      <c r="B3" s="376">
        <f>пр.1!C28</f>
        <v>120000</v>
      </c>
      <c r="C3" s="377" t="s">
        <v>484</v>
      </c>
      <c r="D3" s="377"/>
      <c r="E3" s="377"/>
      <c r="F3" s="377"/>
      <c r="G3" s="377"/>
      <c r="H3" s="377"/>
      <c r="I3" s="377"/>
    </row>
    <row r="4" spans="1:9" x14ac:dyDescent="0.25">
      <c r="A4" s="377"/>
      <c r="B4" s="377"/>
      <c r="C4" s="377"/>
      <c r="D4" s="377"/>
      <c r="E4" s="377"/>
      <c r="F4" s="377"/>
      <c r="G4" s="377"/>
      <c r="H4" s="377"/>
      <c r="I4" s="377"/>
    </row>
    <row r="5" spans="1:9" ht="45" x14ac:dyDescent="0.25">
      <c r="A5" s="375" t="s">
        <v>489</v>
      </c>
      <c r="B5" s="376">
        <f>пр.2!D78</f>
        <v>290826.69328999997</v>
      </c>
      <c r="C5" s="377" t="s">
        <v>488</v>
      </c>
      <c r="D5" s="376">
        <f>пр.2!E78</f>
        <v>316472.37599999993</v>
      </c>
      <c r="E5" s="377" t="s">
        <v>483</v>
      </c>
      <c r="F5" s="376"/>
      <c r="G5" s="377"/>
      <c r="H5" s="376"/>
      <c r="I5" s="377"/>
    </row>
    <row r="6" spans="1:9" ht="45" x14ac:dyDescent="0.25">
      <c r="A6" s="375" t="s">
        <v>491</v>
      </c>
      <c r="B6" s="376">
        <f>пр.4!H21+D6</f>
        <v>310926.69329200004</v>
      </c>
      <c r="C6" s="377" t="s">
        <v>492</v>
      </c>
      <c r="D6" s="376">
        <f>пр.1!D31</f>
        <v>10040.101940000004</v>
      </c>
      <c r="E6" s="377" t="s">
        <v>488</v>
      </c>
      <c r="F6" s="376">
        <f>пр.4!I21+H6</f>
        <v>337472.37600400002</v>
      </c>
      <c r="G6" s="377" t="s">
        <v>493</v>
      </c>
      <c r="H6" s="376">
        <f>пр.1!E31</f>
        <v>21507.647569999997</v>
      </c>
      <c r="I6" s="377" t="s">
        <v>494</v>
      </c>
    </row>
    <row r="7" spans="1:9" ht="45" x14ac:dyDescent="0.25">
      <c r="A7" s="375" t="s">
        <v>490</v>
      </c>
      <c r="B7" s="376">
        <f>пр.1!D28</f>
        <v>20100.000002000055</v>
      </c>
      <c r="C7" s="377" t="s">
        <v>488</v>
      </c>
      <c r="D7" s="376">
        <f>пр.1!E28</f>
        <v>21000.000004000114</v>
      </c>
      <c r="E7" s="377" t="s">
        <v>483</v>
      </c>
      <c r="F7" s="376"/>
      <c r="G7" s="377"/>
      <c r="H7" s="376"/>
      <c r="I7" s="377"/>
    </row>
    <row r="8" spans="1:9" x14ac:dyDescent="0.25">
      <c r="B8" s="374"/>
      <c r="D8" s="374"/>
      <c r="F8" s="374"/>
      <c r="H8" s="374"/>
    </row>
    <row r="9" spans="1:9" x14ac:dyDescent="0.25">
      <c r="B9" s="374"/>
      <c r="D9" s="374"/>
      <c r="F9" s="374"/>
      <c r="H9" s="374"/>
    </row>
    <row r="10" spans="1:9" x14ac:dyDescent="0.25">
      <c r="B10" s="374"/>
      <c r="D10" s="374"/>
      <c r="F10" s="374"/>
      <c r="H10" s="374"/>
    </row>
    <row r="11" spans="1:9" x14ac:dyDescent="0.25">
      <c r="A11" s="373" t="s">
        <v>506</v>
      </c>
      <c r="B11" s="374" t="s">
        <v>507</v>
      </c>
      <c r="D11" s="374">
        <f>пр.4!G24+пр.4!G113</f>
        <v>66511.354129999992</v>
      </c>
      <c r="E11" s="374">
        <f>пр.4!H24+пр.4!H113</f>
        <v>64189.359580000004</v>
      </c>
      <c r="F11" s="374">
        <f>пр.4!I24+пр.4!I113</f>
        <v>64697.951580000008</v>
      </c>
      <c r="H11" s="374"/>
    </row>
    <row r="12" spans="1:9" x14ac:dyDescent="0.25">
      <c r="B12" s="374"/>
      <c r="D12" s="374"/>
      <c r="F12" s="374"/>
      <c r="H12" s="374"/>
    </row>
    <row r="13" spans="1:9" x14ac:dyDescent="0.25">
      <c r="B13" s="374"/>
      <c r="D13" s="374"/>
      <c r="F13" s="374"/>
      <c r="H13" s="374"/>
    </row>
    <row r="14" spans="1:9" x14ac:dyDescent="0.25">
      <c r="B14" s="374"/>
      <c r="C14" s="373">
        <f>3070.573+1831.88194+47592.39956+1109.308</f>
        <v>53604.162499999999</v>
      </c>
      <c r="D14" s="374"/>
      <c r="F14" s="374"/>
      <c r="H14" s="374"/>
    </row>
    <row r="15" spans="1:9" x14ac:dyDescent="0.25">
      <c r="B15" s="374"/>
      <c r="D15" s="374"/>
      <c r="F15" s="374"/>
      <c r="H15" s="374"/>
    </row>
    <row r="16" spans="1:9" x14ac:dyDescent="0.25">
      <c r="B16" s="374"/>
      <c r="C16" s="373">
        <v>3070.5729999999999</v>
      </c>
      <c r="D16" s="374"/>
      <c r="F16" s="374"/>
      <c r="H16" s="374"/>
    </row>
    <row r="17" spans="1:8" x14ac:dyDescent="0.25">
      <c r="B17" s="374"/>
      <c r="C17" s="373">
        <v>1831.88194</v>
      </c>
      <c r="D17" s="374"/>
      <c r="F17" s="374"/>
      <c r="H17" s="374"/>
    </row>
    <row r="18" spans="1:8" x14ac:dyDescent="0.25">
      <c r="B18" s="374"/>
      <c r="C18" s="373">
        <v>47592.399559999998</v>
      </c>
      <c r="D18" s="374"/>
      <c r="F18" s="374"/>
      <c r="H18" s="374"/>
    </row>
    <row r="19" spans="1:8" x14ac:dyDescent="0.25">
      <c r="B19" s="374"/>
      <c r="C19" s="373">
        <v>1109.308</v>
      </c>
      <c r="D19" s="374"/>
      <c r="F19" s="374"/>
      <c r="H19" s="374"/>
    </row>
    <row r="20" spans="1:8" x14ac:dyDescent="0.25">
      <c r="B20" s="374"/>
      <c r="D20" s="374"/>
      <c r="F20" s="374"/>
      <c r="H20" s="374"/>
    </row>
    <row r="21" spans="1:8" x14ac:dyDescent="0.25">
      <c r="B21" s="374">
        <v>50418.999559999997</v>
      </c>
      <c r="D21" s="374"/>
      <c r="F21" s="374"/>
      <c r="H21" s="374"/>
    </row>
    <row r="22" spans="1:8" x14ac:dyDescent="0.25">
      <c r="B22" s="374"/>
      <c r="C22" s="373">
        <f>SUM(C23:C29)</f>
        <v>79023.885499999989</v>
      </c>
      <c r="D22" s="374">
        <f>B21-C22</f>
        <v>-28604.885939999993</v>
      </c>
      <c r="F22" s="374"/>
      <c r="H22" s="374"/>
    </row>
    <row r="23" spans="1:8" x14ac:dyDescent="0.25">
      <c r="B23" s="374"/>
      <c r="C23" s="373">
        <v>3070.5729999999999</v>
      </c>
      <c r="D23" s="374"/>
      <c r="F23" s="374"/>
      <c r="H23" s="374"/>
    </row>
    <row r="24" spans="1:8" x14ac:dyDescent="0.25">
      <c r="B24" s="374"/>
      <c r="C24" s="373">
        <v>1091.88194</v>
      </c>
      <c r="D24" s="374"/>
      <c r="F24" s="374"/>
      <c r="H24" s="374"/>
    </row>
    <row r="25" spans="1:8" x14ac:dyDescent="0.25">
      <c r="B25" s="374"/>
      <c r="C25" s="373">
        <v>36391.785369999998</v>
      </c>
      <c r="D25" s="374"/>
      <c r="F25" s="374"/>
      <c r="H25" s="374"/>
    </row>
    <row r="26" spans="1:8" x14ac:dyDescent="0.25">
      <c r="C26" s="373">
        <v>2233.0851899999998</v>
      </c>
      <c r="D26" s="374"/>
      <c r="F26" s="374"/>
      <c r="H26" s="374"/>
    </row>
    <row r="29" spans="1:8" x14ac:dyDescent="0.25">
      <c r="A29" s="373">
        <f>пр.2!C53+пр.2!C68</f>
        <v>69731.148570000005</v>
      </c>
      <c r="B29" s="373">
        <f>пр.2!D53+пр.2!D68</f>
        <v>21802.51629</v>
      </c>
      <c r="C29" s="373">
        <f>пр.2!E53+пр.2!E68</f>
        <v>36236.559999999998</v>
      </c>
    </row>
    <row r="37" spans="1:3" x14ac:dyDescent="0.25">
      <c r="A37" s="373">
        <f>пр.2!C28/пр.2!C78</f>
        <v>0.66828858309302719</v>
      </c>
      <c r="B37" s="373">
        <f>пр.2!D28/пр.2!D78</f>
        <v>0.6945493025930074</v>
      </c>
      <c r="C37" s="373">
        <f>пр.2!E28/пр.2!E78</f>
        <v>0.66386462747699659</v>
      </c>
    </row>
    <row r="42" spans="1:3" x14ac:dyDescent="0.25">
      <c r="A42" s="373">
        <f>пр.2!C29+пр.2!C31+пр.2!C33</f>
        <v>172781.80900000001</v>
      </c>
      <c r="B42" s="373">
        <f>пр.2!D29+пр.2!D31+пр.2!D33</f>
        <v>180941.87699999998</v>
      </c>
      <c r="C42" s="373">
        <f>пр.2!E29+пр.2!E31+пр.2!E33</f>
        <v>191043.21599999999</v>
      </c>
    </row>
    <row r="43" spans="1:3" x14ac:dyDescent="0.25">
      <c r="A43" s="373">
        <f>A42/пр.2!C28</f>
        <v>0.60996238629154353</v>
      </c>
      <c r="B43" s="373">
        <f>B42/пр.2!D28</f>
        <v>0.89578079296095303</v>
      </c>
      <c r="C43" s="373">
        <f>C42/пр.2!E28</f>
        <v>0.90931903812419634</v>
      </c>
    </row>
    <row r="44" spans="1:3" x14ac:dyDescent="0.25">
      <c r="A44" s="373">
        <f>пр.2!C36+пр.2!C41+пр.2!C44</f>
        <v>110484.52492999999</v>
      </c>
      <c r="B44" s="373">
        <f>пр.2!D36+пр.2!D41+пр.2!D44</f>
        <v>21051.599999999999</v>
      </c>
      <c r="C44" s="373">
        <f>пр.2!E36+пр.2!E41+пр.2!E44</f>
        <v>19051.599999999999</v>
      </c>
    </row>
    <row r="45" spans="1:3" x14ac:dyDescent="0.25">
      <c r="A45" s="373">
        <f>A44/пр.2!C28</f>
        <v>0.39003761370845658</v>
      </c>
      <c r="B45" s="373">
        <f>B44/пр.2!D28</f>
        <v>0.10421920703904712</v>
      </c>
      <c r="C45" s="373">
        <f>C44/пр.2!E28</f>
        <v>9.0680961875803739E-2</v>
      </c>
    </row>
    <row r="50" spans="1:3" x14ac:dyDescent="0.25">
      <c r="A50" s="373">
        <f>пр.2!C48/пр.2!C78</f>
        <v>0.33171141690697281</v>
      </c>
      <c r="B50" s="373">
        <f>пр.2!D48/пр.2!D78</f>
        <v>0.30545069740699249</v>
      </c>
      <c r="C50" s="373">
        <f>пр.2!E48/пр.2!E78</f>
        <v>0.33613537252300346</v>
      </c>
    </row>
    <row r="53" spans="1:3" x14ac:dyDescent="0.25">
      <c r="A53" s="373">
        <f>пр.3!F29/пр.3!F28</f>
        <v>0.81654494310393999</v>
      </c>
    </row>
    <row r="54" spans="1:3" x14ac:dyDescent="0.25">
      <c r="A54" s="373">
        <f>пр.4!G319+пр.4!G23</f>
        <v>80097.506089999995</v>
      </c>
      <c r="B54" s="373">
        <f>пр.4!H319+пр.4!H23</f>
        <v>74262.688529999999</v>
      </c>
      <c r="C54" s="373">
        <f>пр.4!I319+пр.4!I23</f>
        <v>75219.801529999997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B2E9-9F27-402C-ABA0-F74834D20518}">
  <dimension ref="A1:E11"/>
  <sheetViews>
    <sheetView workbookViewId="0">
      <selection activeCell="C23" sqref="C23"/>
    </sheetView>
  </sheetViews>
  <sheetFormatPr defaultRowHeight="12.75" x14ac:dyDescent="0.2"/>
  <cols>
    <col min="1" max="1" width="52.28515625" bestFit="1" customWidth="1"/>
    <col min="2" max="2" width="30" customWidth="1"/>
    <col min="3" max="3" width="31" bestFit="1" customWidth="1"/>
    <col min="4" max="4" width="26.5703125" customWidth="1"/>
    <col min="5" max="5" width="16.140625" bestFit="1" customWidth="1"/>
  </cols>
  <sheetData>
    <row r="1" spans="1:5" ht="42" customHeight="1" thickBot="1" x14ac:dyDescent="0.25">
      <c r="A1" s="505" t="s">
        <v>499</v>
      </c>
      <c r="B1" s="506" t="s">
        <v>500</v>
      </c>
      <c r="C1" s="506" t="s">
        <v>501</v>
      </c>
      <c r="D1" s="507" t="s">
        <v>502</v>
      </c>
      <c r="E1" s="507" t="s">
        <v>503</v>
      </c>
    </row>
    <row r="2" spans="1:5" ht="16.5" thickBot="1" x14ac:dyDescent="0.25">
      <c r="A2" s="505" t="s">
        <v>504</v>
      </c>
      <c r="B2" s="511">
        <f>SUM(B3:B11)</f>
        <v>469355.84151</v>
      </c>
      <c r="C2" s="511">
        <f>SUM(C3:C11)</f>
        <v>543868.28249999997</v>
      </c>
      <c r="D2" s="508">
        <v>100</v>
      </c>
      <c r="E2" s="512">
        <f>C2/B2</f>
        <v>1.1587546897259879</v>
      </c>
    </row>
    <row r="3" spans="1:5" ht="16.5" thickBot="1" x14ac:dyDescent="0.25">
      <c r="A3" s="509" t="s">
        <v>120</v>
      </c>
      <c r="B3" s="468">
        <v>77198.778829999996</v>
      </c>
      <c r="C3" s="513">
        <f>пр.4!G23+пр.4!G319</f>
        <v>80097.506089999995</v>
      </c>
      <c r="D3" s="510">
        <f>C3/C2</f>
        <v>0.1472737217213986</v>
      </c>
      <c r="E3" s="512">
        <f>C3/B3</f>
        <v>1.0375488745279677</v>
      </c>
    </row>
    <row r="4" spans="1:5" ht="16.5" thickBot="1" x14ac:dyDescent="0.25">
      <c r="A4" s="509" t="s">
        <v>126</v>
      </c>
      <c r="B4" s="469">
        <v>1624.4</v>
      </c>
      <c r="C4" s="514">
        <f>пр.4!G76</f>
        <v>2263.8000000000002</v>
      </c>
      <c r="D4" s="510">
        <f>C4/C2</f>
        <v>4.1624048925853665E-3</v>
      </c>
      <c r="E4" s="512">
        <f t="shared" ref="E4:E11" si="0">C4/B4</f>
        <v>1.3936222605269639</v>
      </c>
    </row>
    <row r="5" spans="1:5" ht="32.25" thickBot="1" x14ac:dyDescent="0.25">
      <c r="A5" s="509" t="s">
        <v>127</v>
      </c>
      <c r="B5" s="469">
        <v>12816.410830000001</v>
      </c>
      <c r="C5" s="514">
        <f>пр.4!G86</f>
        <v>15951.849</v>
      </c>
      <c r="D5" s="510">
        <f>C5/C2</f>
        <v>2.9330353530958114E-2</v>
      </c>
      <c r="E5" s="512">
        <f t="shared" si="0"/>
        <v>1.2446424518993044</v>
      </c>
    </row>
    <row r="6" spans="1:5" ht="16.5" thickBot="1" x14ac:dyDescent="0.25">
      <c r="A6" s="509" t="s">
        <v>128</v>
      </c>
      <c r="B6" s="469">
        <v>107072.11672999999</v>
      </c>
      <c r="C6" s="514">
        <f>пр.4!G130</f>
        <v>85200.478350000005</v>
      </c>
      <c r="D6" s="510">
        <f>C6/C2</f>
        <v>0.15665645725534658</v>
      </c>
      <c r="E6" s="512">
        <f t="shared" si="0"/>
        <v>0.79572984033599581</v>
      </c>
    </row>
    <row r="7" spans="1:5" ht="16.5" thickBot="1" x14ac:dyDescent="0.25">
      <c r="A7" s="509" t="s">
        <v>129</v>
      </c>
      <c r="B7" s="468">
        <v>127524.06699000001</v>
      </c>
      <c r="C7" s="513">
        <f>пр.4!G173</f>
        <v>176970.32490000001</v>
      </c>
      <c r="D7" s="510">
        <f>C7/C2</f>
        <v>0.32539188364969601</v>
      </c>
      <c r="E7" s="512">
        <f t="shared" si="0"/>
        <v>1.3877405973405585</v>
      </c>
    </row>
    <row r="8" spans="1:5" ht="16.5" thickBot="1" x14ac:dyDescent="0.25">
      <c r="A8" s="509" t="s">
        <v>131</v>
      </c>
      <c r="B8" s="469">
        <v>1391</v>
      </c>
      <c r="C8" s="514">
        <f>пр.4!G240</f>
        <v>1863.1</v>
      </c>
      <c r="D8" s="510">
        <f>C8/C2</f>
        <v>3.4256456203621325E-3</v>
      </c>
      <c r="E8" s="512">
        <f t="shared" si="0"/>
        <v>1.3393961179007907</v>
      </c>
    </row>
    <row r="9" spans="1:5" ht="16.5" thickBot="1" x14ac:dyDescent="0.25">
      <c r="A9" s="509" t="s">
        <v>505</v>
      </c>
      <c r="B9" s="469">
        <v>70464.671459999998</v>
      </c>
      <c r="C9" s="514">
        <f>пр.4!G255</f>
        <v>70096.708160000009</v>
      </c>
      <c r="D9" s="510">
        <f>C9/C2</f>
        <v>0.12888544968606441</v>
      </c>
      <c r="E9" s="512">
        <f t="shared" si="0"/>
        <v>0.9947780456166766</v>
      </c>
    </row>
    <row r="10" spans="1:5" ht="16.5" thickBot="1" x14ac:dyDescent="0.25">
      <c r="A10" s="509" t="s">
        <v>136</v>
      </c>
      <c r="B10" s="469">
        <v>48164.002269999997</v>
      </c>
      <c r="C10" s="514">
        <f>пр.4!G293</f>
        <v>106501.72</v>
      </c>
      <c r="D10" s="510">
        <f>C10/C2</f>
        <v>0.19582263468361019</v>
      </c>
      <c r="E10" s="512">
        <f t="shared" si="0"/>
        <v>2.2112306905677754</v>
      </c>
    </row>
    <row r="11" spans="1:5" ht="16.5" thickBot="1" x14ac:dyDescent="0.25">
      <c r="A11" s="509" t="s">
        <v>218</v>
      </c>
      <c r="B11" s="469">
        <v>23100.394400000001</v>
      </c>
      <c r="C11" s="514">
        <f>пр.4!G278</f>
        <v>4922.7960000000003</v>
      </c>
      <c r="D11" s="510">
        <f>C11/C2</f>
        <v>9.0514489599786523E-3</v>
      </c>
      <c r="E11" s="512">
        <f t="shared" si="0"/>
        <v>0.21310441349001383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13E28-25F7-47E8-87B8-DC14E103AD46}">
  <sheetPr filterMode="1">
    <pageSetUpPr fitToPage="1"/>
  </sheetPr>
  <dimension ref="A1:H320"/>
  <sheetViews>
    <sheetView zoomScale="130" zoomScaleNormal="130" workbookViewId="0">
      <selection activeCell="H320" sqref="A19:H320"/>
    </sheetView>
  </sheetViews>
  <sheetFormatPr defaultRowHeight="12.75" x14ac:dyDescent="0.2"/>
  <cols>
    <col min="1" max="1" width="100.7109375" style="52" customWidth="1"/>
    <col min="2" max="2" width="13.42578125" style="52" hidden="1" customWidth="1"/>
    <col min="3" max="5" width="4.42578125" style="52" hidden="1" customWidth="1"/>
    <col min="6" max="8" width="13.28515625" style="52" customWidth="1"/>
    <col min="9" max="16384" width="9.140625" style="52"/>
  </cols>
  <sheetData>
    <row r="1" spans="1:8" ht="15.75" x14ac:dyDescent="0.25">
      <c r="A1" s="202"/>
      <c r="B1" s="202"/>
      <c r="C1" s="202"/>
      <c r="D1" s="202"/>
      <c r="E1" s="202"/>
      <c r="F1" s="306" t="s">
        <v>436</v>
      </c>
      <c r="G1" s="202"/>
      <c r="H1" s="202"/>
    </row>
    <row r="2" spans="1:8" ht="15.75" x14ac:dyDescent="0.25">
      <c r="A2" s="202"/>
      <c r="B2" s="202"/>
      <c r="C2" s="202"/>
      <c r="D2" s="202"/>
      <c r="E2" s="202"/>
      <c r="F2" s="337" t="str">
        <f>пр.1!D9</f>
        <v xml:space="preserve">к  решению совета депутатов             </v>
      </c>
      <c r="G2" s="202"/>
      <c r="H2" s="202"/>
    </row>
    <row r="3" spans="1:8" ht="15.75" x14ac:dyDescent="0.25">
      <c r="A3" s="202"/>
      <c r="B3" s="202"/>
      <c r="C3" s="202"/>
      <c r="D3" s="202"/>
      <c r="E3" s="202"/>
      <c r="F3" s="337" t="str">
        <f>пр.1!D10</f>
        <v>Никольского городского поселения</v>
      </c>
      <c r="G3" s="202"/>
      <c r="H3" s="202"/>
    </row>
    <row r="4" spans="1:8" ht="15.75" x14ac:dyDescent="0.25">
      <c r="A4" s="202"/>
      <c r="B4" s="202"/>
      <c r="C4" s="202"/>
      <c r="D4" s="202"/>
      <c r="E4" s="202"/>
      <c r="F4" s="337" t="str">
        <f>пр.1!D11</f>
        <v>Тосненского муниципального района</v>
      </c>
      <c r="G4" s="202"/>
      <c r="H4" s="202"/>
    </row>
    <row r="5" spans="1:8" ht="15.75" x14ac:dyDescent="0.25">
      <c r="A5" s="202"/>
      <c r="B5" s="202"/>
      <c r="C5" s="202"/>
      <c r="D5" s="202"/>
      <c r="E5" s="202"/>
      <c r="F5" s="337" t="str">
        <f>пр.1!D12</f>
        <v>Ленинградской области</v>
      </c>
      <c r="G5" s="202"/>
      <c r="H5" s="202"/>
    </row>
    <row r="6" spans="1:8" ht="15.75" x14ac:dyDescent="0.25">
      <c r="A6" s="202"/>
      <c r="B6" s="202"/>
      <c r="C6" s="202"/>
      <c r="D6" s="202"/>
      <c r="E6" s="202"/>
      <c r="F6" s="337" t="str">
        <f>пр.1!D13</f>
        <v>от 25.12.2025 №80</v>
      </c>
      <c r="G6" s="202"/>
      <c r="H6" s="202"/>
    </row>
    <row r="7" spans="1:8" ht="15.75" x14ac:dyDescent="0.25">
      <c r="A7" s="202"/>
      <c r="B7" s="202"/>
      <c r="C7" s="202"/>
      <c r="D7" s="202"/>
      <c r="E7" s="202"/>
      <c r="F7" s="337"/>
      <c r="G7" s="202"/>
      <c r="H7" s="202"/>
    </row>
    <row r="8" spans="1:8" ht="15.75" hidden="1" x14ac:dyDescent="0.25">
      <c r="A8" s="202"/>
      <c r="B8" s="202"/>
      <c r="C8" s="202"/>
      <c r="D8" s="202"/>
      <c r="E8" s="202"/>
      <c r="F8" s="306" t="s">
        <v>436</v>
      </c>
      <c r="G8" s="202"/>
      <c r="H8" s="202"/>
    </row>
    <row r="9" spans="1:8" ht="15.75" hidden="1" x14ac:dyDescent="0.25">
      <c r="A9" s="202"/>
      <c r="B9" s="202"/>
      <c r="C9" s="202"/>
      <c r="D9" s="202"/>
      <c r="E9" s="202"/>
      <c r="F9" s="337" t="str">
        <f>пр.1!D16</f>
        <v xml:space="preserve">к  решению совета депутатов             </v>
      </c>
      <c r="G9" s="202"/>
      <c r="H9" s="202"/>
    </row>
    <row r="10" spans="1:8" ht="15.75" hidden="1" x14ac:dyDescent="0.25">
      <c r="A10" s="202"/>
      <c r="B10" s="202"/>
      <c r="C10" s="202"/>
      <c r="D10" s="202"/>
      <c r="E10" s="202"/>
      <c r="F10" s="337" t="str">
        <f>пр.1!D17</f>
        <v>Никольского городского поселения</v>
      </c>
      <c r="G10" s="202"/>
      <c r="H10" s="202"/>
    </row>
    <row r="11" spans="1:8" ht="15.75" hidden="1" x14ac:dyDescent="0.25">
      <c r="A11" s="202"/>
      <c r="B11" s="202"/>
      <c r="C11" s="202"/>
      <c r="D11" s="202"/>
      <c r="E11" s="202"/>
      <c r="F11" s="337" t="str">
        <f>пр.1!D18</f>
        <v>Тосненского муниципального района</v>
      </c>
      <c r="G11" s="202"/>
      <c r="H11" s="202"/>
    </row>
    <row r="12" spans="1:8" ht="15.75" hidden="1" x14ac:dyDescent="0.25">
      <c r="A12" s="202"/>
      <c r="B12" s="202"/>
      <c r="C12" s="202"/>
      <c r="D12" s="202"/>
      <c r="E12" s="202"/>
      <c r="F12" s="337" t="str">
        <f>пр.1!D19</f>
        <v>Ленинградской области</v>
      </c>
      <c r="G12" s="202"/>
      <c r="H12" s="202"/>
    </row>
    <row r="13" spans="1:8" ht="15.75" hidden="1" x14ac:dyDescent="0.25">
      <c r="A13" s="202"/>
      <c r="B13" s="202"/>
      <c r="C13" s="202"/>
      <c r="D13" s="202"/>
      <c r="E13" s="202"/>
      <c r="F13" s="337" t="str">
        <f>пр.1!D20</f>
        <v>от 24.12.2024 №25</v>
      </c>
      <c r="G13" s="202"/>
      <c r="H13" s="202"/>
    </row>
    <row r="14" spans="1:8" x14ac:dyDescent="0.2">
      <c r="A14" s="202"/>
      <c r="B14" s="202"/>
      <c r="C14" s="202"/>
      <c r="D14" s="202"/>
      <c r="E14" s="202"/>
      <c r="F14" s="202"/>
      <c r="G14" s="202"/>
      <c r="H14" s="202"/>
    </row>
    <row r="15" spans="1:8" s="55" customFormat="1" ht="15.75" x14ac:dyDescent="0.25">
      <c r="A15" s="753" t="s">
        <v>461</v>
      </c>
      <c r="B15" s="753"/>
      <c r="C15" s="753"/>
      <c r="D15" s="753"/>
      <c r="E15" s="753"/>
      <c r="F15" s="753"/>
      <c r="G15" s="753"/>
      <c r="H15" s="753"/>
    </row>
    <row r="16" spans="1:8" s="55" customFormat="1" ht="15.75" x14ac:dyDescent="0.25">
      <c r="A16" s="753" t="s">
        <v>460</v>
      </c>
      <c r="B16" s="753"/>
      <c r="C16" s="753"/>
      <c r="D16" s="753"/>
      <c r="E16" s="753"/>
      <c r="F16" s="753"/>
      <c r="G16" s="753"/>
      <c r="H16" s="753"/>
    </row>
    <row r="17" spans="1:8" s="55" customFormat="1" ht="15.75" x14ac:dyDescent="0.25">
      <c r="A17" s="753" t="s">
        <v>474</v>
      </c>
      <c r="B17" s="753"/>
      <c r="C17" s="753"/>
      <c r="D17" s="753"/>
      <c r="E17" s="753"/>
      <c r="F17" s="753"/>
      <c r="G17" s="753"/>
      <c r="H17" s="753"/>
    </row>
    <row r="18" spans="1:8" s="55" customFormat="1" ht="16.5" thickBot="1" x14ac:dyDescent="0.3">
      <c r="A18" s="13"/>
      <c r="B18" s="13"/>
      <c r="C18" s="13"/>
      <c r="D18" s="13"/>
      <c r="E18" s="13"/>
      <c r="F18" s="13"/>
    </row>
    <row r="19" spans="1:8" s="55" customFormat="1" ht="25.5" x14ac:dyDescent="0.25">
      <c r="A19" s="754" t="s">
        <v>0</v>
      </c>
      <c r="B19" s="756" t="s">
        <v>5</v>
      </c>
      <c r="C19" s="756" t="s">
        <v>19</v>
      </c>
      <c r="D19" s="756" t="s">
        <v>20</v>
      </c>
      <c r="E19" s="756" t="s">
        <v>21</v>
      </c>
      <c r="F19" s="233" t="s">
        <v>445</v>
      </c>
      <c r="G19" s="233" t="s">
        <v>445</v>
      </c>
      <c r="H19" s="234" t="s">
        <v>445</v>
      </c>
    </row>
    <row r="20" spans="1:8" s="55" customFormat="1" ht="16.5" thickBot="1" x14ac:dyDescent="0.3">
      <c r="A20" s="755"/>
      <c r="B20" s="757"/>
      <c r="C20" s="757"/>
      <c r="D20" s="757"/>
      <c r="E20" s="757"/>
      <c r="F20" s="57" t="s">
        <v>317</v>
      </c>
      <c r="G20" s="57" t="s">
        <v>343</v>
      </c>
      <c r="H20" s="335" t="s">
        <v>473</v>
      </c>
    </row>
    <row r="21" spans="1:8" s="55" customFormat="1" ht="16.5" hidden="1" thickBot="1" x14ac:dyDescent="0.3">
      <c r="A21" s="58" t="s">
        <v>23</v>
      </c>
      <c r="B21" s="59"/>
      <c r="C21" s="59"/>
      <c r="D21" s="59"/>
      <c r="E21" s="59"/>
      <c r="F21" s="60" t="e">
        <f>SUM(F22+F202)</f>
        <v>#REF!</v>
      </c>
      <c r="G21" s="60" t="e">
        <f>SUM(G22+G202)</f>
        <v>#REF!</v>
      </c>
      <c r="H21" s="61" t="e">
        <f>SUM(H22+H202)</f>
        <v>#REF!</v>
      </c>
    </row>
    <row r="22" spans="1:8" s="55" customFormat="1" ht="16.5" hidden="1" thickBot="1" x14ac:dyDescent="0.3">
      <c r="A22" s="336" t="s">
        <v>24</v>
      </c>
      <c r="B22" s="62"/>
      <c r="C22" s="62"/>
      <c r="D22" s="63"/>
      <c r="E22" s="64"/>
      <c r="F22" s="65" t="e">
        <f>F23+F46+F53+F84+F101+F131+F138+F154+F195+F161+F168+F181+F188</f>
        <v>#REF!</v>
      </c>
      <c r="G22" s="65" t="e">
        <f>G23+G46+G53+G84+G101+G131+G138+G154+G195+G161+G168+G181+G188</f>
        <v>#REF!</v>
      </c>
      <c r="H22" s="65" t="e">
        <f>H23+H46+H53+H84+H101+H131+H138+H154+H195+H161+H168+H181+H188</f>
        <v>#REF!</v>
      </c>
    </row>
    <row r="23" spans="1:8" s="55" customFormat="1" ht="26.25" thickBot="1" x14ac:dyDescent="0.3">
      <c r="A23" s="516" t="s">
        <v>370</v>
      </c>
      <c r="B23" s="59" t="s">
        <v>25</v>
      </c>
      <c r="C23" s="59"/>
      <c r="D23" s="67"/>
      <c r="E23" s="67"/>
      <c r="F23" s="517" t="e">
        <f>F24+F40</f>
        <v>#REF!</v>
      </c>
      <c r="G23" s="517" t="e">
        <f>G24+G40</f>
        <v>#REF!</v>
      </c>
      <c r="H23" s="518" t="e">
        <f>H24+H40</f>
        <v>#REF!</v>
      </c>
    </row>
    <row r="24" spans="1:8" s="55" customFormat="1" ht="16.5" hidden="1" thickBot="1" x14ac:dyDescent="0.3">
      <c r="A24" s="213" t="s">
        <v>232</v>
      </c>
      <c r="B24" s="214" t="s">
        <v>279</v>
      </c>
      <c r="C24" s="214"/>
      <c r="D24" s="70"/>
      <c r="E24" s="70"/>
      <c r="F24" s="71">
        <f>F25</f>
        <v>74019.06</v>
      </c>
      <c r="G24" s="71">
        <f>G25</f>
        <v>74019.06</v>
      </c>
      <c r="H24" s="72">
        <f>H25</f>
        <v>74019.06</v>
      </c>
    </row>
    <row r="25" spans="1:8" s="55" customFormat="1" ht="16.5" hidden="1" thickBot="1" x14ac:dyDescent="0.3">
      <c r="A25" s="89" t="s">
        <v>280</v>
      </c>
      <c r="B25" s="112" t="s">
        <v>281</v>
      </c>
      <c r="C25" s="112"/>
      <c r="D25" s="112"/>
      <c r="E25" s="112"/>
      <c r="F25" s="73">
        <f>F26+F36</f>
        <v>74019.06</v>
      </c>
      <c r="G25" s="73">
        <f>G26+G36</f>
        <v>74019.06</v>
      </c>
      <c r="H25" s="74">
        <f>H26+H36</f>
        <v>74019.06</v>
      </c>
    </row>
    <row r="26" spans="1:8" s="55" customFormat="1" ht="16.5" hidden="1" thickBot="1" x14ac:dyDescent="0.3">
      <c r="A26" s="75" t="s">
        <v>26</v>
      </c>
      <c r="B26" s="56" t="s">
        <v>282</v>
      </c>
      <c r="C26" s="56"/>
      <c r="D26" s="76"/>
      <c r="E26" s="76"/>
      <c r="F26" s="3">
        <f>F27+F30+F33</f>
        <v>73269.06</v>
      </c>
      <c r="G26" s="3">
        <f>G27+G30+G33</f>
        <v>73269.06</v>
      </c>
      <c r="H26" s="77">
        <f>H27+H30+H33</f>
        <v>73269.06</v>
      </c>
    </row>
    <row r="27" spans="1:8" s="55" customFormat="1" ht="26.25" hidden="1" thickBot="1" x14ac:dyDescent="0.3">
      <c r="A27" s="75" t="s">
        <v>27</v>
      </c>
      <c r="B27" s="56" t="s">
        <v>282</v>
      </c>
      <c r="C27" s="56">
        <v>100</v>
      </c>
      <c r="D27" s="76"/>
      <c r="E27" s="76"/>
      <c r="F27" s="3">
        <f t="shared" ref="F27:H28" si="0">F28</f>
        <v>33997.06</v>
      </c>
      <c r="G27" s="3">
        <f t="shared" si="0"/>
        <v>33997.06</v>
      </c>
      <c r="H27" s="77">
        <f t="shared" si="0"/>
        <v>33997.06</v>
      </c>
    </row>
    <row r="28" spans="1:8" s="55" customFormat="1" ht="16.5" hidden="1" thickBot="1" x14ac:dyDescent="0.3">
      <c r="A28" s="10" t="s">
        <v>133</v>
      </c>
      <c r="B28" s="56" t="s">
        <v>282</v>
      </c>
      <c r="C28" s="56">
        <v>110</v>
      </c>
      <c r="D28" s="76"/>
      <c r="E28" s="76"/>
      <c r="F28" s="3">
        <f t="shared" si="0"/>
        <v>33997.06</v>
      </c>
      <c r="G28" s="3">
        <f t="shared" si="0"/>
        <v>33997.06</v>
      </c>
      <c r="H28" s="77">
        <f t="shared" si="0"/>
        <v>33997.06</v>
      </c>
    </row>
    <row r="29" spans="1:8" s="55" customFormat="1" ht="16.5" hidden="1" thickBot="1" x14ac:dyDescent="0.3">
      <c r="A29" s="338" t="s">
        <v>28</v>
      </c>
      <c r="B29" s="56" t="s">
        <v>282</v>
      </c>
      <c r="C29" s="56">
        <v>110</v>
      </c>
      <c r="D29" s="76" t="s">
        <v>29</v>
      </c>
      <c r="E29" s="76" t="s">
        <v>30</v>
      </c>
      <c r="F29" s="3">
        <f>пр.4!G300</f>
        <v>33997.06</v>
      </c>
      <c r="G29" s="3">
        <f>пр.4!H300</f>
        <v>33997.06</v>
      </c>
      <c r="H29" s="77">
        <f>пр.4!I300</f>
        <v>33997.06</v>
      </c>
    </row>
    <row r="30" spans="1:8" s="55" customFormat="1" ht="16.5" hidden="1" thickBot="1" x14ac:dyDescent="0.3">
      <c r="A30" s="75" t="s">
        <v>31</v>
      </c>
      <c r="B30" s="56" t="s">
        <v>282</v>
      </c>
      <c r="C30" s="56">
        <v>200</v>
      </c>
      <c r="D30" s="76"/>
      <c r="E30" s="76"/>
      <c r="F30" s="3">
        <f t="shared" ref="F30:H31" si="1">F31</f>
        <v>39247</v>
      </c>
      <c r="G30" s="3">
        <f t="shared" si="1"/>
        <v>39247</v>
      </c>
      <c r="H30" s="77">
        <f t="shared" si="1"/>
        <v>39247</v>
      </c>
    </row>
    <row r="31" spans="1:8" s="55" customFormat="1" ht="16.5" hidden="1" thickBot="1" x14ac:dyDescent="0.3">
      <c r="A31" s="10" t="s">
        <v>67</v>
      </c>
      <c r="B31" s="56" t="s">
        <v>282</v>
      </c>
      <c r="C31" s="56">
        <v>240</v>
      </c>
      <c r="D31" s="76"/>
      <c r="E31" s="76"/>
      <c r="F31" s="3">
        <f t="shared" si="1"/>
        <v>39247</v>
      </c>
      <c r="G31" s="3">
        <f t="shared" si="1"/>
        <v>39247</v>
      </c>
      <c r="H31" s="77">
        <f t="shared" si="1"/>
        <v>39247</v>
      </c>
    </row>
    <row r="32" spans="1:8" s="55" customFormat="1" ht="16.5" hidden="1" thickBot="1" x14ac:dyDescent="0.3">
      <c r="A32" s="338" t="s">
        <v>28</v>
      </c>
      <c r="B32" s="56" t="s">
        <v>282</v>
      </c>
      <c r="C32" s="56">
        <v>240</v>
      </c>
      <c r="D32" s="76" t="s">
        <v>29</v>
      </c>
      <c r="E32" s="76" t="s">
        <v>30</v>
      </c>
      <c r="F32" s="3">
        <f>пр.4!G302</f>
        <v>39247</v>
      </c>
      <c r="G32" s="3">
        <f>пр.4!H302</f>
        <v>39247</v>
      </c>
      <c r="H32" s="77">
        <f>пр.4!I302</f>
        <v>39247</v>
      </c>
    </row>
    <row r="33" spans="1:8" s="55" customFormat="1" ht="16.5" hidden="1" thickBot="1" x14ac:dyDescent="0.3">
      <c r="A33" s="75" t="s">
        <v>33</v>
      </c>
      <c r="B33" s="56" t="s">
        <v>282</v>
      </c>
      <c r="C33" s="56">
        <v>800</v>
      </c>
      <c r="D33" s="76"/>
      <c r="E33" s="76"/>
      <c r="F33" s="3">
        <f t="shared" ref="F33:H34" si="2">F34</f>
        <v>25</v>
      </c>
      <c r="G33" s="3">
        <f t="shared" si="2"/>
        <v>25</v>
      </c>
      <c r="H33" s="77">
        <f t="shared" si="2"/>
        <v>25</v>
      </c>
    </row>
    <row r="34" spans="1:8" s="55" customFormat="1" ht="16.5" hidden="1" thickBot="1" x14ac:dyDescent="0.3">
      <c r="A34" s="10" t="s">
        <v>76</v>
      </c>
      <c r="B34" s="56" t="s">
        <v>282</v>
      </c>
      <c r="C34" s="56">
        <v>850</v>
      </c>
      <c r="D34" s="76"/>
      <c r="E34" s="76"/>
      <c r="F34" s="3">
        <f t="shared" si="2"/>
        <v>25</v>
      </c>
      <c r="G34" s="3">
        <f t="shared" si="2"/>
        <v>25</v>
      </c>
      <c r="H34" s="77">
        <f t="shared" si="2"/>
        <v>25</v>
      </c>
    </row>
    <row r="35" spans="1:8" s="55" customFormat="1" ht="16.5" hidden="1" thickBot="1" x14ac:dyDescent="0.3">
      <c r="A35" s="338" t="s">
        <v>28</v>
      </c>
      <c r="B35" s="56" t="s">
        <v>282</v>
      </c>
      <c r="C35" s="56">
        <v>850</v>
      </c>
      <c r="D35" s="76" t="s">
        <v>29</v>
      </c>
      <c r="E35" s="76" t="s">
        <v>30</v>
      </c>
      <c r="F35" s="3">
        <f>пр.4!G304</f>
        <v>25</v>
      </c>
      <c r="G35" s="3">
        <f>пр.4!H304</f>
        <v>25</v>
      </c>
      <c r="H35" s="77">
        <f>пр.4!I304</f>
        <v>25</v>
      </c>
    </row>
    <row r="36" spans="1:8" s="55" customFormat="1" ht="16.5" hidden="1" thickBot="1" x14ac:dyDescent="0.3">
      <c r="A36" s="82" t="s">
        <v>34</v>
      </c>
      <c r="B36" s="5" t="s">
        <v>283</v>
      </c>
      <c r="C36" s="78"/>
      <c r="D36" s="79"/>
      <c r="E36" s="79"/>
      <c r="F36" s="80">
        <f t="shared" ref="F36:H38" si="3">F37</f>
        <v>750</v>
      </c>
      <c r="G36" s="80">
        <f t="shared" si="3"/>
        <v>750</v>
      </c>
      <c r="H36" s="81">
        <f t="shared" si="3"/>
        <v>750</v>
      </c>
    </row>
    <row r="37" spans="1:8" s="55" customFormat="1" ht="16.5" hidden="1" thickBot="1" x14ac:dyDescent="0.3">
      <c r="A37" s="75" t="s">
        <v>31</v>
      </c>
      <c r="B37" s="5" t="s">
        <v>283</v>
      </c>
      <c r="C37" s="78">
        <v>200</v>
      </c>
      <c r="D37" s="79"/>
      <c r="E37" s="79"/>
      <c r="F37" s="80">
        <f t="shared" si="3"/>
        <v>750</v>
      </c>
      <c r="G37" s="80">
        <f t="shared" si="3"/>
        <v>750</v>
      </c>
      <c r="H37" s="81">
        <f t="shared" si="3"/>
        <v>750</v>
      </c>
    </row>
    <row r="38" spans="1:8" s="55" customFormat="1" ht="16.5" hidden="1" thickBot="1" x14ac:dyDescent="0.3">
      <c r="A38" s="10" t="s">
        <v>67</v>
      </c>
      <c r="B38" s="5" t="s">
        <v>283</v>
      </c>
      <c r="C38" s="78">
        <v>240</v>
      </c>
      <c r="D38" s="79"/>
      <c r="E38" s="79"/>
      <c r="F38" s="80">
        <f t="shared" si="3"/>
        <v>750</v>
      </c>
      <c r="G38" s="80">
        <f t="shared" si="3"/>
        <v>750</v>
      </c>
      <c r="H38" s="81">
        <f t="shared" si="3"/>
        <v>750</v>
      </c>
    </row>
    <row r="39" spans="1:8" s="55" customFormat="1" ht="16.5" hidden="1" thickBot="1" x14ac:dyDescent="0.3">
      <c r="A39" s="339" t="s">
        <v>28</v>
      </c>
      <c r="B39" s="5" t="s">
        <v>283</v>
      </c>
      <c r="C39" s="78">
        <v>240</v>
      </c>
      <c r="D39" s="79" t="s">
        <v>29</v>
      </c>
      <c r="E39" s="79" t="s">
        <v>30</v>
      </c>
      <c r="F39" s="83">
        <f>пр.4!G307</f>
        <v>750</v>
      </c>
      <c r="G39" s="83">
        <f>пр.4!H307</f>
        <v>750</v>
      </c>
      <c r="H39" s="84">
        <f>пр.4!I307</f>
        <v>750</v>
      </c>
    </row>
    <row r="40" spans="1:8" s="55" customFormat="1" ht="16.5" hidden="1" thickBot="1" x14ac:dyDescent="0.3">
      <c r="A40" s="193" t="s">
        <v>410</v>
      </c>
      <c r="B40" s="113" t="s">
        <v>327</v>
      </c>
      <c r="C40" s="113"/>
      <c r="D40" s="308"/>
      <c r="E40" s="308"/>
      <c r="F40" s="100" t="e">
        <f>F41</f>
        <v>#REF!</v>
      </c>
      <c r="G40" s="100" t="e">
        <f>G41</f>
        <v>#REF!</v>
      </c>
      <c r="H40" s="101" t="e">
        <f>H41</f>
        <v>#REF!</v>
      </c>
    </row>
    <row r="41" spans="1:8" s="55" customFormat="1" ht="16.5" hidden="1" thickBot="1" x14ac:dyDescent="0.3">
      <c r="A41" s="89" t="s">
        <v>332</v>
      </c>
      <c r="B41" s="87" t="s">
        <v>328</v>
      </c>
      <c r="C41" s="87"/>
      <c r="D41" s="88"/>
      <c r="E41" s="88"/>
      <c r="F41" s="73" t="e">
        <f>SUM(F42)</f>
        <v>#REF!</v>
      </c>
      <c r="G41" s="73" t="e">
        <f>SUM(G42)</f>
        <v>#REF!</v>
      </c>
      <c r="H41" s="74" t="e">
        <f>SUM(H42)</f>
        <v>#REF!</v>
      </c>
    </row>
    <row r="42" spans="1:8" s="55" customFormat="1" ht="16.5" hidden="1" thickBot="1" x14ac:dyDescent="0.3">
      <c r="A42" s="90" t="s">
        <v>330</v>
      </c>
      <c r="B42" s="56" t="s">
        <v>329</v>
      </c>
      <c r="C42" s="56"/>
      <c r="D42" s="76"/>
      <c r="E42" s="76"/>
      <c r="F42" s="3" t="e">
        <f>F44</f>
        <v>#REF!</v>
      </c>
      <c r="G42" s="3" t="e">
        <f>G44</f>
        <v>#REF!</v>
      </c>
      <c r="H42" s="77" t="e">
        <f>H44</f>
        <v>#REF!</v>
      </c>
    </row>
    <row r="43" spans="1:8" s="55" customFormat="1" ht="16.5" hidden="1" thickBot="1" x14ac:dyDescent="0.3">
      <c r="A43" s="75" t="s">
        <v>31</v>
      </c>
      <c r="B43" s="56" t="s">
        <v>329</v>
      </c>
      <c r="C43" s="56">
        <v>200</v>
      </c>
      <c r="D43" s="76"/>
      <c r="E43" s="76"/>
      <c r="F43" s="3" t="e">
        <f t="shared" ref="F43:H44" si="4">F44</f>
        <v>#REF!</v>
      </c>
      <c r="G43" s="3" t="e">
        <f t="shared" si="4"/>
        <v>#REF!</v>
      </c>
      <c r="H43" s="77" t="e">
        <f t="shared" si="4"/>
        <v>#REF!</v>
      </c>
    </row>
    <row r="44" spans="1:8" s="55" customFormat="1" ht="16.5" hidden="1" thickBot="1" x14ac:dyDescent="0.3">
      <c r="A44" s="10" t="s">
        <v>67</v>
      </c>
      <c r="B44" s="56" t="s">
        <v>329</v>
      </c>
      <c r="C44" s="56">
        <v>240</v>
      </c>
      <c r="D44" s="76"/>
      <c r="E44" s="76"/>
      <c r="F44" s="3" t="e">
        <f t="shared" si="4"/>
        <v>#REF!</v>
      </c>
      <c r="G44" s="3" t="e">
        <f t="shared" si="4"/>
        <v>#REF!</v>
      </c>
      <c r="H44" s="77" t="e">
        <f t="shared" si="4"/>
        <v>#REF!</v>
      </c>
    </row>
    <row r="45" spans="1:8" s="55" customFormat="1" ht="16.5" hidden="1" thickBot="1" x14ac:dyDescent="0.3">
      <c r="A45" s="341" t="s">
        <v>337</v>
      </c>
      <c r="B45" s="91" t="s">
        <v>329</v>
      </c>
      <c r="C45" s="91">
        <v>240</v>
      </c>
      <c r="D45" s="92" t="s">
        <v>29</v>
      </c>
      <c r="E45" s="92" t="s">
        <v>58</v>
      </c>
      <c r="F45" s="93" t="e">
        <f>пр.4!#REF!</f>
        <v>#REF!</v>
      </c>
      <c r="G45" s="93" t="e">
        <f>пр.4!#REF!</f>
        <v>#REF!</v>
      </c>
      <c r="H45" s="94" t="e">
        <f>пр.4!#REF!</f>
        <v>#REF!</v>
      </c>
    </row>
    <row r="46" spans="1:8" s="55" customFormat="1" ht="32.25" customHeight="1" thickBot="1" x14ac:dyDescent="0.3">
      <c r="A46" s="519" t="s">
        <v>371</v>
      </c>
      <c r="B46" s="96" t="s">
        <v>38</v>
      </c>
      <c r="C46" s="96"/>
      <c r="D46" s="97"/>
      <c r="E46" s="97"/>
      <c r="F46" s="517">
        <f>F47</f>
        <v>2383.92</v>
      </c>
      <c r="G46" s="517">
        <f>G47</f>
        <v>1330.9490000000001</v>
      </c>
      <c r="H46" s="518">
        <f>H47</f>
        <v>0</v>
      </c>
    </row>
    <row r="47" spans="1:8" s="55" customFormat="1" ht="16.5" hidden="1" thickBot="1" x14ac:dyDescent="0.3">
      <c r="A47" s="185" t="s">
        <v>410</v>
      </c>
      <c r="B47" s="186" t="s">
        <v>338</v>
      </c>
      <c r="C47" s="309"/>
      <c r="D47" s="310"/>
      <c r="E47" s="310"/>
      <c r="F47" s="110">
        <f t="shared" ref="F47:H48" si="5">F48</f>
        <v>2383.92</v>
      </c>
      <c r="G47" s="110">
        <f t="shared" si="5"/>
        <v>1330.9490000000001</v>
      </c>
      <c r="H47" s="111">
        <f t="shared" si="5"/>
        <v>0</v>
      </c>
    </row>
    <row r="48" spans="1:8" s="55" customFormat="1" ht="16.5" hidden="1" thickBot="1" x14ac:dyDescent="0.3">
      <c r="A48" s="89" t="s">
        <v>339</v>
      </c>
      <c r="B48" s="112" t="s">
        <v>342</v>
      </c>
      <c r="C48" s="103"/>
      <c r="D48" s="103"/>
      <c r="E48" s="103"/>
      <c r="F48" s="73">
        <f t="shared" si="5"/>
        <v>2383.92</v>
      </c>
      <c r="G48" s="73">
        <f t="shared" si="5"/>
        <v>1330.9490000000001</v>
      </c>
      <c r="H48" s="74">
        <f t="shared" si="5"/>
        <v>0</v>
      </c>
    </row>
    <row r="49" spans="1:8" s="55" customFormat="1" ht="16.5" hidden="1" thickBot="1" x14ac:dyDescent="0.3">
      <c r="A49" s="9" t="s">
        <v>340</v>
      </c>
      <c r="B49" s="5" t="s">
        <v>341</v>
      </c>
      <c r="C49" s="4"/>
      <c r="D49" s="4"/>
      <c r="E49" s="1"/>
      <c r="F49" s="3">
        <f>F52</f>
        <v>2383.92</v>
      </c>
      <c r="G49" s="3">
        <f>G52</f>
        <v>1330.9490000000001</v>
      </c>
      <c r="H49" s="77">
        <f>H52</f>
        <v>0</v>
      </c>
    </row>
    <row r="50" spans="1:8" s="55" customFormat="1" ht="16.5" hidden="1" thickBot="1" x14ac:dyDescent="0.3">
      <c r="A50" s="340" t="s">
        <v>39</v>
      </c>
      <c r="B50" s="5" t="s">
        <v>341</v>
      </c>
      <c r="C50" s="4">
        <v>300</v>
      </c>
      <c r="D50" s="4"/>
      <c r="E50" s="4"/>
      <c r="F50" s="3">
        <f t="shared" ref="F50:H51" si="6">F51</f>
        <v>2383.92</v>
      </c>
      <c r="G50" s="3">
        <f t="shared" si="6"/>
        <v>1330.9490000000001</v>
      </c>
      <c r="H50" s="77">
        <f t="shared" si="6"/>
        <v>0</v>
      </c>
    </row>
    <row r="51" spans="1:8" s="55" customFormat="1" ht="16.5" hidden="1" thickBot="1" x14ac:dyDescent="0.3">
      <c r="A51" s="99" t="s">
        <v>135</v>
      </c>
      <c r="B51" s="5" t="s">
        <v>341</v>
      </c>
      <c r="C51" s="4">
        <v>320</v>
      </c>
      <c r="D51" s="4"/>
      <c r="E51" s="4"/>
      <c r="F51" s="3">
        <f t="shared" si="6"/>
        <v>2383.92</v>
      </c>
      <c r="G51" s="3">
        <f t="shared" si="6"/>
        <v>1330.9490000000001</v>
      </c>
      <c r="H51" s="77">
        <f t="shared" si="6"/>
        <v>0</v>
      </c>
    </row>
    <row r="52" spans="1:8" s="55" customFormat="1" ht="16.5" hidden="1" thickBot="1" x14ac:dyDescent="0.3">
      <c r="A52" s="342" t="s">
        <v>214</v>
      </c>
      <c r="B52" s="105" t="s">
        <v>341</v>
      </c>
      <c r="C52" s="106">
        <v>320</v>
      </c>
      <c r="D52" s="107" t="s">
        <v>118</v>
      </c>
      <c r="E52" s="107" t="s">
        <v>36</v>
      </c>
      <c r="F52" s="93">
        <f>пр.4!G292</f>
        <v>2383.92</v>
      </c>
      <c r="G52" s="93">
        <f>пр.4!H292</f>
        <v>1330.9490000000001</v>
      </c>
      <c r="H52" s="94">
        <f>пр.4!I292</f>
        <v>0</v>
      </c>
    </row>
    <row r="53" spans="1:8" s="55" customFormat="1" ht="26.25" thickBot="1" x14ac:dyDescent="0.3">
      <c r="A53" s="516" t="s">
        <v>372</v>
      </c>
      <c r="B53" s="59" t="s">
        <v>41</v>
      </c>
      <c r="C53" s="59"/>
      <c r="D53" s="67"/>
      <c r="E53" s="67"/>
      <c r="F53" s="517">
        <f>F54</f>
        <v>71959.808160000015</v>
      </c>
      <c r="G53" s="517">
        <f>G54</f>
        <v>61226.976860000002</v>
      </c>
      <c r="H53" s="518">
        <f>H54</f>
        <v>60998.054859999997</v>
      </c>
    </row>
    <row r="54" spans="1:8" s="55" customFormat="1" ht="16.5" hidden="1" thickBot="1" x14ac:dyDescent="0.3">
      <c r="A54" s="185" t="s">
        <v>232</v>
      </c>
      <c r="B54" s="186" t="s">
        <v>233</v>
      </c>
      <c r="C54" s="108"/>
      <c r="D54" s="311"/>
      <c r="E54" s="311"/>
      <c r="F54" s="110">
        <f>F55+F60+F65</f>
        <v>71959.808160000015</v>
      </c>
      <c r="G54" s="110">
        <f>G55+G60+G65</f>
        <v>61226.976860000002</v>
      </c>
      <c r="H54" s="111">
        <f>H55+H60+H65</f>
        <v>60998.054859999997</v>
      </c>
    </row>
    <row r="55" spans="1:8" s="55" customFormat="1" ht="16.5" hidden="1" thickBot="1" x14ac:dyDescent="0.3">
      <c r="A55" s="89" t="s">
        <v>234</v>
      </c>
      <c r="B55" s="112" t="s">
        <v>235</v>
      </c>
      <c r="C55" s="87"/>
      <c r="D55" s="88"/>
      <c r="E55" s="88"/>
      <c r="F55" s="73">
        <f>F59</f>
        <v>1100</v>
      </c>
      <c r="G55" s="73">
        <f>G56</f>
        <v>1100</v>
      </c>
      <c r="H55" s="74">
        <f>H56</f>
        <v>1100</v>
      </c>
    </row>
    <row r="56" spans="1:8" s="55" customFormat="1" ht="16.5" hidden="1" thickBot="1" x14ac:dyDescent="0.3">
      <c r="A56" s="9" t="s">
        <v>42</v>
      </c>
      <c r="B56" s="5" t="s">
        <v>236</v>
      </c>
      <c r="C56" s="56"/>
      <c r="D56" s="76"/>
      <c r="E56" s="76"/>
      <c r="F56" s="3">
        <f t="shared" ref="F56:H58" si="7">F57</f>
        <v>1100</v>
      </c>
      <c r="G56" s="3">
        <f t="shared" si="7"/>
        <v>1100</v>
      </c>
      <c r="H56" s="77">
        <f t="shared" si="7"/>
        <v>1100</v>
      </c>
    </row>
    <row r="57" spans="1:8" s="55" customFormat="1" ht="16.5" hidden="1" thickBot="1" x14ac:dyDescent="0.3">
      <c r="A57" s="9" t="s">
        <v>31</v>
      </c>
      <c r="B57" s="5" t="s">
        <v>236</v>
      </c>
      <c r="C57" s="56">
        <v>200</v>
      </c>
      <c r="D57" s="76"/>
      <c r="E57" s="76"/>
      <c r="F57" s="3">
        <f t="shared" si="7"/>
        <v>1100</v>
      </c>
      <c r="G57" s="3">
        <f t="shared" si="7"/>
        <v>1100</v>
      </c>
      <c r="H57" s="77">
        <f t="shared" si="7"/>
        <v>1100</v>
      </c>
    </row>
    <row r="58" spans="1:8" s="55" customFormat="1" ht="16.5" hidden="1" thickBot="1" x14ac:dyDescent="0.3">
      <c r="A58" s="10" t="s">
        <v>67</v>
      </c>
      <c r="B58" s="5" t="s">
        <v>236</v>
      </c>
      <c r="C58" s="56">
        <v>240</v>
      </c>
      <c r="D58" s="76"/>
      <c r="E58" s="76"/>
      <c r="F58" s="3">
        <f t="shared" si="7"/>
        <v>1100</v>
      </c>
      <c r="G58" s="3">
        <f t="shared" si="7"/>
        <v>1100</v>
      </c>
      <c r="H58" s="77">
        <f t="shared" si="7"/>
        <v>1100</v>
      </c>
    </row>
    <row r="59" spans="1:8" s="55" customFormat="1" ht="16.5" hidden="1" thickBot="1" x14ac:dyDescent="0.3">
      <c r="A59" s="338" t="s">
        <v>296</v>
      </c>
      <c r="B59" s="5" t="s">
        <v>236</v>
      </c>
      <c r="C59" s="56">
        <v>240</v>
      </c>
      <c r="D59" s="76" t="s">
        <v>43</v>
      </c>
      <c r="E59" s="76" t="s">
        <v>49</v>
      </c>
      <c r="F59" s="3">
        <f>пр.4!G254</f>
        <v>1100</v>
      </c>
      <c r="G59" s="3">
        <f>пр.4!H254</f>
        <v>1100</v>
      </c>
      <c r="H59" s="77">
        <f>пр.4!I254</f>
        <v>1100</v>
      </c>
    </row>
    <row r="60" spans="1:8" s="55" customFormat="1" ht="16.5" hidden="1" thickBot="1" x14ac:dyDescent="0.3">
      <c r="A60" s="89" t="s">
        <v>237</v>
      </c>
      <c r="B60" s="112" t="s">
        <v>238</v>
      </c>
      <c r="C60" s="87"/>
      <c r="D60" s="88"/>
      <c r="E60" s="88"/>
      <c r="F60" s="73">
        <f>SUM(F63)</f>
        <v>763.1</v>
      </c>
      <c r="G60" s="73">
        <f>SUM(G63)</f>
        <v>563.1</v>
      </c>
      <c r="H60" s="74">
        <f>SUM(H63)</f>
        <v>563.1</v>
      </c>
    </row>
    <row r="61" spans="1:8" s="55" customFormat="1" ht="16.5" hidden="1" thickBot="1" x14ac:dyDescent="0.3">
      <c r="A61" s="9" t="s">
        <v>44</v>
      </c>
      <c r="B61" s="5" t="s">
        <v>239</v>
      </c>
      <c r="C61" s="56"/>
      <c r="D61" s="76"/>
      <c r="E61" s="76"/>
      <c r="F61" s="3">
        <f>F64</f>
        <v>763.1</v>
      </c>
      <c r="G61" s="3">
        <f>G64</f>
        <v>563.1</v>
      </c>
      <c r="H61" s="77">
        <f>H64</f>
        <v>563.1</v>
      </c>
    </row>
    <row r="62" spans="1:8" s="55" customFormat="1" ht="16.5" hidden="1" thickBot="1" x14ac:dyDescent="0.3">
      <c r="A62" s="9" t="s">
        <v>31</v>
      </c>
      <c r="B62" s="5" t="s">
        <v>239</v>
      </c>
      <c r="C62" s="56">
        <v>200</v>
      </c>
      <c r="D62" s="76"/>
      <c r="E62" s="76"/>
      <c r="F62" s="3">
        <f t="shared" ref="F62:H63" si="8">F63</f>
        <v>763.1</v>
      </c>
      <c r="G62" s="3">
        <f t="shared" si="8"/>
        <v>563.1</v>
      </c>
      <c r="H62" s="77">
        <f t="shared" si="8"/>
        <v>563.1</v>
      </c>
    </row>
    <row r="63" spans="1:8" s="55" customFormat="1" ht="16.5" hidden="1" thickBot="1" x14ac:dyDescent="0.3">
      <c r="A63" s="10" t="s">
        <v>67</v>
      </c>
      <c r="B63" s="5" t="s">
        <v>239</v>
      </c>
      <c r="C63" s="56">
        <v>240</v>
      </c>
      <c r="D63" s="76"/>
      <c r="E63" s="76"/>
      <c r="F63" s="3">
        <f t="shared" si="8"/>
        <v>763.1</v>
      </c>
      <c r="G63" s="3">
        <f t="shared" si="8"/>
        <v>563.1</v>
      </c>
      <c r="H63" s="77">
        <f t="shared" si="8"/>
        <v>563.1</v>
      </c>
    </row>
    <row r="64" spans="1:8" s="55" customFormat="1" ht="16.5" hidden="1" thickBot="1" x14ac:dyDescent="0.3">
      <c r="A64" s="338" t="s">
        <v>150</v>
      </c>
      <c r="B64" s="5" t="s">
        <v>239</v>
      </c>
      <c r="C64" s="56">
        <v>240</v>
      </c>
      <c r="D64" s="76" t="s">
        <v>43</v>
      </c>
      <c r="E64" s="76" t="s">
        <v>43</v>
      </c>
      <c r="F64" s="3">
        <f>пр.4!G247</f>
        <v>763.1</v>
      </c>
      <c r="G64" s="3">
        <f>пр.4!H247</f>
        <v>563.1</v>
      </c>
      <c r="H64" s="77">
        <f>пр.4!I247</f>
        <v>563.1</v>
      </c>
    </row>
    <row r="65" spans="1:8" s="55" customFormat="1" ht="16.5" hidden="1" thickBot="1" x14ac:dyDescent="0.3">
      <c r="A65" s="89" t="s">
        <v>240</v>
      </c>
      <c r="B65" s="112" t="s">
        <v>241</v>
      </c>
      <c r="C65" s="56"/>
      <c r="D65" s="76"/>
      <c r="E65" s="76"/>
      <c r="F65" s="3">
        <f>F66+F80+F76</f>
        <v>70096.708160000009</v>
      </c>
      <c r="G65" s="3">
        <f>G66+G80+G76</f>
        <v>59563.876860000004</v>
      </c>
      <c r="H65" s="3">
        <f>H66+H80+H76</f>
        <v>59334.954859999998</v>
      </c>
    </row>
    <row r="66" spans="1:8" s="55" customFormat="1" ht="16.5" hidden="1" thickBot="1" x14ac:dyDescent="0.3">
      <c r="A66" s="9" t="s">
        <v>335</v>
      </c>
      <c r="B66" s="56" t="s">
        <v>242</v>
      </c>
      <c r="C66" s="56"/>
      <c r="D66" s="76"/>
      <c r="E66" s="76"/>
      <c r="F66" s="3">
        <f>F67+F70+F73</f>
        <v>51062.708160000009</v>
      </c>
      <c r="G66" s="3">
        <f>G67+G70+G73</f>
        <v>41544.876860000004</v>
      </c>
      <c r="H66" s="77">
        <f>H67+H70+H73</f>
        <v>41315.954859999998</v>
      </c>
    </row>
    <row r="67" spans="1:8" s="55" customFormat="1" ht="26.25" hidden="1" thickBot="1" x14ac:dyDescent="0.3">
      <c r="A67" s="75" t="s">
        <v>27</v>
      </c>
      <c r="B67" s="56" t="s">
        <v>242</v>
      </c>
      <c r="C67" s="56">
        <v>100</v>
      </c>
      <c r="D67" s="76"/>
      <c r="E67" s="76"/>
      <c r="F67" s="3">
        <f t="shared" ref="F67:H68" si="9">F68</f>
        <v>33933.431000000004</v>
      </c>
      <c r="G67" s="3">
        <f t="shared" si="9"/>
        <v>31536.808000000001</v>
      </c>
      <c r="H67" s="77">
        <f t="shared" si="9"/>
        <v>31536.808000000001</v>
      </c>
    </row>
    <row r="68" spans="1:8" s="55" customFormat="1" ht="16.5" hidden="1" thickBot="1" x14ac:dyDescent="0.3">
      <c r="A68" s="10" t="s">
        <v>133</v>
      </c>
      <c r="B68" s="5" t="s">
        <v>242</v>
      </c>
      <c r="C68" s="56">
        <v>110</v>
      </c>
      <c r="D68" s="76"/>
      <c r="E68" s="76"/>
      <c r="F68" s="3">
        <f t="shared" si="9"/>
        <v>33933.431000000004</v>
      </c>
      <c r="G68" s="3">
        <f t="shared" si="9"/>
        <v>31536.808000000001</v>
      </c>
      <c r="H68" s="77">
        <f t="shared" si="9"/>
        <v>31536.808000000001</v>
      </c>
    </row>
    <row r="69" spans="1:8" s="55" customFormat="1" ht="16.5" hidden="1" thickBot="1" x14ac:dyDescent="0.3">
      <c r="A69" s="338" t="s">
        <v>45</v>
      </c>
      <c r="B69" s="5" t="s">
        <v>242</v>
      </c>
      <c r="C69" s="56">
        <v>110</v>
      </c>
      <c r="D69" s="76" t="s">
        <v>46</v>
      </c>
      <c r="E69" s="76" t="s">
        <v>30</v>
      </c>
      <c r="F69" s="3">
        <f>пр.4!G262</f>
        <v>33933.431000000004</v>
      </c>
      <c r="G69" s="3">
        <f>пр.4!H262</f>
        <v>31536.808000000001</v>
      </c>
      <c r="H69" s="77">
        <f>пр.4!I262</f>
        <v>31536.808000000001</v>
      </c>
    </row>
    <row r="70" spans="1:8" s="55" customFormat="1" ht="16.5" hidden="1" thickBot="1" x14ac:dyDescent="0.3">
      <c r="A70" s="75" t="s">
        <v>31</v>
      </c>
      <c r="B70" s="5" t="s">
        <v>242</v>
      </c>
      <c r="C70" s="56">
        <v>200</v>
      </c>
      <c r="D70" s="76"/>
      <c r="E70" s="76"/>
      <c r="F70" s="3">
        <f t="shared" ref="F70:H71" si="10">F71</f>
        <v>17075.277160000001</v>
      </c>
      <c r="G70" s="3">
        <f t="shared" si="10"/>
        <v>9964.0688600000012</v>
      </c>
      <c r="H70" s="77">
        <f t="shared" si="10"/>
        <v>9735.1468599999989</v>
      </c>
    </row>
    <row r="71" spans="1:8" s="55" customFormat="1" ht="16.5" hidden="1" thickBot="1" x14ac:dyDescent="0.3">
      <c r="A71" s="10" t="s">
        <v>67</v>
      </c>
      <c r="B71" s="5" t="s">
        <v>242</v>
      </c>
      <c r="C71" s="56">
        <v>240</v>
      </c>
      <c r="D71" s="76"/>
      <c r="E71" s="76"/>
      <c r="F71" s="3">
        <f t="shared" si="10"/>
        <v>17075.277160000001</v>
      </c>
      <c r="G71" s="3">
        <f t="shared" si="10"/>
        <v>9964.0688600000012</v>
      </c>
      <c r="H71" s="77">
        <f t="shared" si="10"/>
        <v>9735.1468599999989</v>
      </c>
    </row>
    <row r="72" spans="1:8" s="55" customFormat="1" ht="16.5" hidden="1" thickBot="1" x14ac:dyDescent="0.3">
      <c r="A72" s="338" t="s">
        <v>45</v>
      </c>
      <c r="B72" s="5" t="s">
        <v>242</v>
      </c>
      <c r="C72" s="56">
        <v>240</v>
      </c>
      <c r="D72" s="76" t="s">
        <v>46</v>
      </c>
      <c r="E72" s="76" t="s">
        <v>30</v>
      </c>
      <c r="F72" s="3">
        <f>пр.4!G264</f>
        <v>17075.277160000001</v>
      </c>
      <c r="G72" s="3">
        <f>пр.4!H264</f>
        <v>9964.0688600000012</v>
      </c>
      <c r="H72" s="77">
        <f>пр.4!I264</f>
        <v>9735.1468599999989</v>
      </c>
    </row>
    <row r="73" spans="1:8" s="55" customFormat="1" ht="16.5" hidden="1" thickBot="1" x14ac:dyDescent="0.3">
      <c r="A73" s="75" t="s">
        <v>33</v>
      </c>
      <c r="B73" s="5" t="s">
        <v>242</v>
      </c>
      <c r="C73" s="56">
        <v>800</v>
      </c>
      <c r="D73" s="76"/>
      <c r="E73" s="76"/>
      <c r="F73" s="3">
        <f t="shared" ref="F73:H74" si="11">F74</f>
        <v>54</v>
      </c>
      <c r="G73" s="3">
        <f t="shared" si="11"/>
        <v>44</v>
      </c>
      <c r="H73" s="77">
        <f t="shared" si="11"/>
        <v>44</v>
      </c>
    </row>
    <row r="74" spans="1:8" s="55" customFormat="1" ht="16.5" hidden="1" thickBot="1" x14ac:dyDescent="0.3">
      <c r="A74" s="10" t="s">
        <v>76</v>
      </c>
      <c r="B74" s="5" t="s">
        <v>242</v>
      </c>
      <c r="C74" s="56">
        <v>850</v>
      </c>
      <c r="D74" s="76"/>
      <c r="E74" s="76"/>
      <c r="F74" s="3">
        <f t="shared" si="11"/>
        <v>54</v>
      </c>
      <c r="G74" s="3">
        <f t="shared" si="11"/>
        <v>44</v>
      </c>
      <c r="H74" s="77">
        <f t="shared" si="11"/>
        <v>44</v>
      </c>
    </row>
    <row r="75" spans="1:8" s="55" customFormat="1" ht="16.5" hidden="1" thickBot="1" x14ac:dyDescent="0.3">
      <c r="A75" s="338" t="s">
        <v>45</v>
      </c>
      <c r="B75" s="5" t="s">
        <v>242</v>
      </c>
      <c r="C75" s="56">
        <v>850</v>
      </c>
      <c r="D75" s="76" t="s">
        <v>46</v>
      </c>
      <c r="E75" s="76" t="s">
        <v>30</v>
      </c>
      <c r="F75" s="3">
        <f>пр.4!G266</f>
        <v>54</v>
      </c>
      <c r="G75" s="3">
        <f>пр.4!H266</f>
        <v>44</v>
      </c>
      <c r="H75" s="77">
        <f>пр.4!I266</f>
        <v>44</v>
      </c>
    </row>
    <row r="76" spans="1:8" s="55" customFormat="1" ht="16.5" hidden="1" thickBot="1" x14ac:dyDescent="0.3">
      <c r="A76" s="75" t="s">
        <v>47</v>
      </c>
      <c r="B76" s="5" t="s">
        <v>244</v>
      </c>
      <c r="C76" s="87"/>
      <c r="D76" s="88"/>
      <c r="E76" s="88"/>
      <c r="F76" s="3">
        <f t="shared" ref="F76:H78" si="12">F77</f>
        <v>6088.2000000000007</v>
      </c>
      <c r="G76" s="3">
        <f t="shared" si="12"/>
        <v>5073.2000000000007</v>
      </c>
      <c r="H76" s="77">
        <f t="shared" si="12"/>
        <v>5073.2000000000007</v>
      </c>
    </row>
    <row r="77" spans="1:8" s="55" customFormat="1" ht="16.5" hidden="1" thickBot="1" x14ac:dyDescent="0.3">
      <c r="A77" s="75" t="s">
        <v>31</v>
      </c>
      <c r="B77" s="5" t="s">
        <v>244</v>
      </c>
      <c r="C77" s="56">
        <v>200</v>
      </c>
      <c r="D77" s="88"/>
      <c r="E77" s="88"/>
      <c r="F77" s="3">
        <f t="shared" si="12"/>
        <v>6088.2000000000007</v>
      </c>
      <c r="G77" s="3">
        <f t="shared" si="12"/>
        <v>5073.2000000000007</v>
      </c>
      <c r="H77" s="77">
        <f t="shared" si="12"/>
        <v>5073.2000000000007</v>
      </c>
    </row>
    <row r="78" spans="1:8" s="55" customFormat="1" ht="16.5" hidden="1" thickBot="1" x14ac:dyDescent="0.3">
      <c r="A78" s="10" t="s">
        <v>67</v>
      </c>
      <c r="B78" s="5" t="s">
        <v>244</v>
      </c>
      <c r="C78" s="56">
        <v>240</v>
      </c>
      <c r="D78" s="76"/>
      <c r="E78" s="76"/>
      <c r="F78" s="3">
        <f t="shared" si="12"/>
        <v>6088.2000000000007</v>
      </c>
      <c r="G78" s="3">
        <f t="shared" si="12"/>
        <v>5073.2000000000007</v>
      </c>
      <c r="H78" s="77">
        <f t="shared" si="12"/>
        <v>5073.2000000000007</v>
      </c>
    </row>
    <row r="79" spans="1:8" s="55" customFormat="1" ht="16.5" hidden="1" thickBot="1" x14ac:dyDescent="0.3">
      <c r="A79" s="338" t="s">
        <v>45</v>
      </c>
      <c r="B79" s="5" t="s">
        <v>244</v>
      </c>
      <c r="C79" s="56">
        <v>240</v>
      </c>
      <c r="D79" s="76" t="s">
        <v>46</v>
      </c>
      <c r="E79" s="76" t="s">
        <v>30</v>
      </c>
      <c r="F79" s="3">
        <f>пр.4!G269</f>
        <v>6088.2000000000007</v>
      </c>
      <c r="G79" s="3">
        <f>пр.4!H269</f>
        <v>5073.2000000000007</v>
      </c>
      <c r="H79" s="77">
        <f>пр.4!I269</f>
        <v>5073.2000000000007</v>
      </c>
    </row>
    <row r="80" spans="1:8" s="55" customFormat="1" ht="39" hidden="1" thickBot="1" x14ac:dyDescent="0.3">
      <c r="A80" s="75" t="s">
        <v>430</v>
      </c>
      <c r="B80" s="5" t="s">
        <v>243</v>
      </c>
      <c r="C80" s="56"/>
      <c r="D80" s="76"/>
      <c r="E80" s="76"/>
      <c r="F80" s="3">
        <f t="shared" ref="F80:H82" si="13">F81</f>
        <v>12945.800000000001</v>
      </c>
      <c r="G80" s="3">
        <f t="shared" si="13"/>
        <v>12945.800000000001</v>
      </c>
      <c r="H80" s="77">
        <f t="shared" si="13"/>
        <v>12945.800000000001</v>
      </c>
    </row>
    <row r="81" spans="1:8" s="55" customFormat="1" ht="26.25" hidden="1" thickBot="1" x14ac:dyDescent="0.3">
      <c r="A81" s="75" t="s">
        <v>27</v>
      </c>
      <c r="B81" s="5" t="s">
        <v>243</v>
      </c>
      <c r="C81" s="56">
        <v>100</v>
      </c>
      <c r="D81" s="76"/>
      <c r="E81" s="76"/>
      <c r="F81" s="3">
        <f t="shared" si="13"/>
        <v>12945.800000000001</v>
      </c>
      <c r="G81" s="3">
        <f t="shared" si="13"/>
        <v>12945.800000000001</v>
      </c>
      <c r="H81" s="77">
        <f t="shared" si="13"/>
        <v>12945.800000000001</v>
      </c>
    </row>
    <row r="82" spans="1:8" s="55" customFormat="1" ht="16.5" hidden="1" thickBot="1" x14ac:dyDescent="0.3">
      <c r="A82" s="10" t="s">
        <v>133</v>
      </c>
      <c r="B82" s="5" t="s">
        <v>243</v>
      </c>
      <c r="C82" s="56">
        <v>110</v>
      </c>
      <c r="D82" s="76"/>
      <c r="E82" s="76"/>
      <c r="F82" s="3">
        <f t="shared" si="13"/>
        <v>12945.800000000001</v>
      </c>
      <c r="G82" s="3">
        <f t="shared" si="13"/>
        <v>12945.800000000001</v>
      </c>
      <c r="H82" s="77">
        <f t="shared" si="13"/>
        <v>12945.800000000001</v>
      </c>
    </row>
    <row r="83" spans="1:8" s="55" customFormat="1" ht="16.5" hidden="1" thickBot="1" x14ac:dyDescent="0.3">
      <c r="A83" s="338" t="s">
        <v>45</v>
      </c>
      <c r="B83" s="5" t="s">
        <v>243</v>
      </c>
      <c r="C83" s="56">
        <v>110</v>
      </c>
      <c r="D83" s="76" t="s">
        <v>46</v>
      </c>
      <c r="E83" s="76" t="s">
        <v>30</v>
      </c>
      <c r="F83" s="3">
        <f>пр.4!G272</f>
        <v>12945.800000000001</v>
      </c>
      <c r="G83" s="3">
        <f>пр.4!H272</f>
        <v>12945.800000000001</v>
      </c>
      <c r="H83" s="77">
        <f>пр.4!I272</f>
        <v>12945.800000000001</v>
      </c>
    </row>
    <row r="84" spans="1:8" s="55" customFormat="1" ht="26.25" thickBot="1" x14ac:dyDescent="0.3">
      <c r="A84" s="516" t="s">
        <v>373</v>
      </c>
      <c r="B84" s="59" t="s">
        <v>48</v>
      </c>
      <c r="C84" s="59"/>
      <c r="D84" s="67"/>
      <c r="E84" s="67"/>
      <c r="F84" s="517">
        <f>F85</f>
        <v>12370</v>
      </c>
      <c r="G84" s="517">
        <f>G85</f>
        <v>1246</v>
      </c>
      <c r="H84" s="518">
        <f>H85</f>
        <v>1246</v>
      </c>
    </row>
    <row r="85" spans="1:8" s="55" customFormat="1" ht="16.5" hidden="1" thickBot="1" x14ac:dyDescent="0.3">
      <c r="A85" s="185" t="s">
        <v>232</v>
      </c>
      <c r="B85" s="186" t="s">
        <v>245</v>
      </c>
      <c r="C85" s="108"/>
      <c r="D85" s="109"/>
      <c r="E85" s="109"/>
      <c r="F85" s="110">
        <f>F86+F91+F96</f>
        <v>12370</v>
      </c>
      <c r="G85" s="110">
        <f>G86+G91+G96</f>
        <v>1246</v>
      </c>
      <c r="H85" s="111">
        <f>H86+H91+H96</f>
        <v>1246</v>
      </c>
    </row>
    <row r="86" spans="1:8" s="55" customFormat="1" ht="26.25" hidden="1" thickBot="1" x14ac:dyDescent="0.3">
      <c r="A86" s="89" t="s">
        <v>246</v>
      </c>
      <c r="B86" s="112" t="s">
        <v>247</v>
      </c>
      <c r="C86" s="87"/>
      <c r="D86" s="88"/>
      <c r="E86" s="88"/>
      <c r="F86" s="73">
        <f>F87</f>
        <v>3200</v>
      </c>
      <c r="G86" s="73">
        <f>G87</f>
        <v>786</v>
      </c>
      <c r="H86" s="74">
        <f>H87</f>
        <v>786</v>
      </c>
    </row>
    <row r="87" spans="1:8" s="55" customFormat="1" ht="26.25" hidden="1" thickBot="1" x14ac:dyDescent="0.3">
      <c r="A87" s="9" t="s">
        <v>414</v>
      </c>
      <c r="B87" s="5" t="s">
        <v>248</v>
      </c>
      <c r="C87" s="87"/>
      <c r="D87" s="88"/>
      <c r="E87" s="88"/>
      <c r="F87" s="3">
        <f>F89</f>
        <v>3200</v>
      </c>
      <c r="G87" s="3">
        <f>G89</f>
        <v>786</v>
      </c>
      <c r="H87" s="77">
        <f>H89</f>
        <v>786</v>
      </c>
    </row>
    <row r="88" spans="1:8" s="55" customFormat="1" ht="16.5" hidden="1" thickBot="1" x14ac:dyDescent="0.3">
      <c r="A88" s="75" t="s">
        <v>31</v>
      </c>
      <c r="B88" s="5" t="s">
        <v>248</v>
      </c>
      <c r="C88" s="56">
        <v>200</v>
      </c>
      <c r="D88" s="88"/>
      <c r="E88" s="88"/>
      <c r="F88" s="3">
        <f t="shared" ref="F88:H89" si="14">F89</f>
        <v>3200</v>
      </c>
      <c r="G88" s="3">
        <f t="shared" si="14"/>
        <v>786</v>
      </c>
      <c r="H88" s="77">
        <f t="shared" si="14"/>
        <v>786</v>
      </c>
    </row>
    <row r="89" spans="1:8" s="55" customFormat="1" ht="16.5" hidden="1" thickBot="1" x14ac:dyDescent="0.3">
      <c r="A89" s="10" t="s">
        <v>67</v>
      </c>
      <c r="B89" s="5" t="s">
        <v>248</v>
      </c>
      <c r="C89" s="56">
        <v>240</v>
      </c>
      <c r="D89" s="76"/>
      <c r="E89" s="76"/>
      <c r="F89" s="3">
        <f t="shared" si="14"/>
        <v>3200</v>
      </c>
      <c r="G89" s="3">
        <f t="shared" si="14"/>
        <v>786</v>
      </c>
      <c r="H89" s="77">
        <f t="shared" si="14"/>
        <v>786</v>
      </c>
    </row>
    <row r="90" spans="1:8" s="55" customFormat="1" ht="15" hidden="1" customHeight="1" x14ac:dyDescent="0.25">
      <c r="A90" s="10" t="s">
        <v>295</v>
      </c>
      <c r="B90" s="5" t="s">
        <v>248</v>
      </c>
      <c r="C90" s="4">
        <v>240</v>
      </c>
      <c r="D90" s="1" t="s">
        <v>40</v>
      </c>
      <c r="E90" s="1" t="s">
        <v>118</v>
      </c>
      <c r="F90" s="3">
        <f>пр.4!G93</f>
        <v>3200</v>
      </c>
      <c r="G90" s="3">
        <f>пр.4!H93</f>
        <v>786</v>
      </c>
      <c r="H90" s="77">
        <f>пр.4!I93</f>
        <v>786</v>
      </c>
    </row>
    <row r="91" spans="1:8" s="55" customFormat="1" ht="15" hidden="1" customHeight="1" x14ac:dyDescent="0.25">
      <c r="A91" s="89" t="s">
        <v>418</v>
      </c>
      <c r="B91" s="112" t="s">
        <v>249</v>
      </c>
      <c r="C91" s="103"/>
      <c r="D91" s="104"/>
      <c r="E91" s="104"/>
      <c r="F91" s="73">
        <f t="shared" ref="F91:H94" si="15">F92</f>
        <v>2570</v>
      </c>
      <c r="G91" s="73">
        <f t="shared" si="15"/>
        <v>460</v>
      </c>
      <c r="H91" s="74">
        <f t="shared" si="15"/>
        <v>460</v>
      </c>
    </row>
    <row r="92" spans="1:8" s="55" customFormat="1" ht="16.5" hidden="1" thickBot="1" x14ac:dyDescent="0.3">
      <c r="A92" s="9" t="s">
        <v>50</v>
      </c>
      <c r="B92" s="5" t="s">
        <v>250</v>
      </c>
      <c r="C92" s="4"/>
      <c r="D92" s="1"/>
      <c r="E92" s="1"/>
      <c r="F92" s="3">
        <f t="shared" si="15"/>
        <v>2570</v>
      </c>
      <c r="G92" s="3">
        <f t="shared" si="15"/>
        <v>460</v>
      </c>
      <c r="H92" s="77">
        <f t="shared" si="15"/>
        <v>460</v>
      </c>
    </row>
    <row r="93" spans="1:8" s="55" customFormat="1" ht="16.5" hidden="1" thickBot="1" x14ac:dyDescent="0.3">
      <c r="A93" s="86" t="s">
        <v>31</v>
      </c>
      <c r="B93" s="5" t="s">
        <v>250</v>
      </c>
      <c r="C93" s="4">
        <v>200</v>
      </c>
      <c r="D93" s="1"/>
      <c r="E93" s="1"/>
      <c r="F93" s="3">
        <f t="shared" si="15"/>
        <v>2570</v>
      </c>
      <c r="G93" s="3">
        <f t="shared" si="15"/>
        <v>460</v>
      </c>
      <c r="H93" s="77">
        <f t="shared" si="15"/>
        <v>460</v>
      </c>
    </row>
    <row r="94" spans="1:8" s="55" customFormat="1" ht="16.5" hidden="1" thickBot="1" x14ac:dyDescent="0.3">
      <c r="A94" s="10" t="s">
        <v>67</v>
      </c>
      <c r="B94" s="5" t="s">
        <v>250</v>
      </c>
      <c r="C94" s="4">
        <v>240</v>
      </c>
      <c r="D94" s="1"/>
      <c r="E94" s="1"/>
      <c r="F94" s="3">
        <f t="shared" si="15"/>
        <v>2570</v>
      </c>
      <c r="G94" s="3">
        <f t="shared" si="15"/>
        <v>460</v>
      </c>
      <c r="H94" s="77">
        <f t="shared" si="15"/>
        <v>460</v>
      </c>
    </row>
    <row r="95" spans="1:8" s="55" customFormat="1" ht="15.75" hidden="1" customHeight="1" x14ac:dyDescent="0.25">
      <c r="A95" s="10" t="s">
        <v>295</v>
      </c>
      <c r="B95" s="5" t="s">
        <v>250</v>
      </c>
      <c r="C95" s="4">
        <v>240</v>
      </c>
      <c r="D95" s="1" t="s">
        <v>40</v>
      </c>
      <c r="E95" s="1" t="s">
        <v>118</v>
      </c>
      <c r="F95" s="3">
        <f>пр.4!G97</f>
        <v>2570</v>
      </c>
      <c r="G95" s="3">
        <f>пр.4!H97</f>
        <v>460</v>
      </c>
      <c r="H95" s="77">
        <f>пр.4!I97</f>
        <v>460</v>
      </c>
    </row>
    <row r="96" spans="1:8" s="55" customFormat="1" ht="26.25" hidden="1" thickBot="1" x14ac:dyDescent="0.3">
      <c r="A96" s="312" t="s">
        <v>350</v>
      </c>
      <c r="B96" s="313" t="s">
        <v>351</v>
      </c>
      <c r="C96" s="103"/>
      <c r="D96" s="104"/>
      <c r="E96" s="104"/>
      <c r="F96" s="73">
        <f>F97</f>
        <v>6600</v>
      </c>
      <c r="G96" s="73">
        <f t="shared" ref="G96:H99" si="16">G97</f>
        <v>0</v>
      </c>
      <c r="H96" s="74">
        <f t="shared" si="16"/>
        <v>0</v>
      </c>
    </row>
    <row r="97" spans="1:8" s="55" customFormat="1" ht="26.25" hidden="1" thickBot="1" x14ac:dyDescent="0.3">
      <c r="A97" s="116" t="s">
        <v>352</v>
      </c>
      <c r="B97" s="85" t="s">
        <v>353</v>
      </c>
      <c r="C97" s="4"/>
      <c r="D97" s="1"/>
      <c r="E97" s="1"/>
      <c r="F97" s="3">
        <f>F98</f>
        <v>6600</v>
      </c>
      <c r="G97" s="3">
        <f t="shared" si="16"/>
        <v>0</v>
      </c>
      <c r="H97" s="77">
        <f t="shared" si="16"/>
        <v>0</v>
      </c>
    </row>
    <row r="98" spans="1:8" s="55" customFormat="1" ht="16.5" hidden="1" thickBot="1" x14ac:dyDescent="0.3">
      <c r="A98" s="116" t="s">
        <v>65</v>
      </c>
      <c r="B98" s="85" t="s">
        <v>353</v>
      </c>
      <c r="C98" s="85" t="s">
        <v>66</v>
      </c>
      <c r="D98" s="85"/>
      <c r="E98" s="85"/>
      <c r="F98" s="3">
        <f>F99</f>
        <v>6600</v>
      </c>
      <c r="G98" s="3">
        <f t="shared" si="16"/>
        <v>0</v>
      </c>
      <c r="H98" s="77">
        <f t="shared" si="16"/>
        <v>0</v>
      </c>
    </row>
    <row r="99" spans="1:8" s="55" customFormat="1" ht="16.5" hidden="1" thickBot="1" x14ac:dyDescent="0.3">
      <c r="A99" s="117" t="s">
        <v>67</v>
      </c>
      <c r="B99" s="85" t="s">
        <v>353</v>
      </c>
      <c r="C99" s="5" t="s">
        <v>68</v>
      </c>
      <c r="D99" s="85"/>
      <c r="E99" s="85"/>
      <c r="F99" s="3">
        <f>F100</f>
        <v>6600</v>
      </c>
      <c r="G99" s="3">
        <f t="shared" si="16"/>
        <v>0</v>
      </c>
      <c r="H99" s="77">
        <f t="shared" si="16"/>
        <v>0</v>
      </c>
    </row>
    <row r="100" spans="1:8" s="55" customFormat="1" ht="16.5" hidden="1" thickBot="1" x14ac:dyDescent="0.3">
      <c r="A100" s="118" t="s">
        <v>144</v>
      </c>
      <c r="B100" s="119" t="s">
        <v>353</v>
      </c>
      <c r="C100" s="105" t="s">
        <v>68</v>
      </c>
      <c r="D100" s="119" t="s">
        <v>40</v>
      </c>
      <c r="E100" s="119" t="s">
        <v>145</v>
      </c>
      <c r="F100" s="93">
        <f>пр.4!G112</f>
        <v>6600</v>
      </c>
      <c r="G100" s="93">
        <f>пр.4!H112</f>
        <v>0</v>
      </c>
      <c r="H100" s="94">
        <f>пр.4!I112</f>
        <v>0</v>
      </c>
    </row>
    <row r="101" spans="1:8" s="55" customFormat="1" ht="26.25" thickBot="1" x14ac:dyDescent="0.3">
      <c r="A101" s="520" t="s">
        <v>375</v>
      </c>
      <c r="B101" s="121" t="s">
        <v>51</v>
      </c>
      <c r="C101" s="121"/>
      <c r="D101" s="122"/>
      <c r="E101" s="122"/>
      <c r="F101" s="517">
        <f>F102+F125</f>
        <v>81930.614150000009</v>
      </c>
      <c r="G101" s="517">
        <f>G102+G125</f>
        <v>24206.614000000001</v>
      </c>
      <c r="H101" s="518">
        <f>H102+H125</f>
        <v>24238.805</v>
      </c>
    </row>
    <row r="102" spans="1:8" s="55" customFormat="1" ht="16.5" hidden="1" thickBot="1" x14ac:dyDescent="0.3">
      <c r="A102" s="314" t="s">
        <v>232</v>
      </c>
      <c r="B102" s="315" t="s">
        <v>251</v>
      </c>
      <c r="C102" s="123"/>
      <c r="D102" s="316"/>
      <c r="E102" s="316"/>
      <c r="F102" s="110">
        <f>F103+F120</f>
        <v>81930.614150000009</v>
      </c>
      <c r="G102" s="110">
        <f>G103+G120</f>
        <v>18535.092260000001</v>
      </c>
      <c r="H102" s="111">
        <f>H103+H120</f>
        <v>18608.585210000001</v>
      </c>
    </row>
    <row r="103" spans="1:8" s="55" customFormat="1" ht="39" hidden="1" thickBot="1" x14ac:dyDescent="0.3">
      <c r="A103" s="302" t="s">
        <v>252</v>
      </c>
      <c r="B103" s="317" t="s">
        <v>253</v>
      </c>
      <c r="C103" s="125"/>
      <c r="D103" s="126"/>
      <c r="E103" s="126"/>
      <c r="F103" s="73">
        <f>F104+F108+F116+F112</f>
        <v>78930.614150000009</v>
      </c>
      <c r="G103" s="73">
        <f>G104+G108+G116+G112</f>
        <v>18035.092260000001</v>
      </c>
      <c r="H103" s="74">
        <f>H104+H108+H116+H112</f>
        <v>18108.585210000001</v>
      </c>
    </row>
    <row r="104" spans="1:8" s="55" customFormat="1" ht="16.5" hidden="1" thickBot="1" x14ac:dyDescent="0.3">
      <c r="A104" s="124" t="s">
        <v>52</v>
      </c>
      <c r="B104" s="7" t="s">
        <v>254</v>
      </c>
      <c r="C104" s="114"/>
      <c r="D104" s="115"/>
      <c r="E104" s="115"/>
      <c r="F104" s="3">
        <f>F106</f>
        <v>19601.2</v>
      </c>
      <c r="G104" s="3">
        <f>G106</f>
        <v>15554</v>
      </c>
      <c r="H104" s="77">
        <f>H106</f>
        <v>15554</v>
      </c>
    </row>
    <row r="105" spans="1:8" s="55" customFormat="1" ht="16.5" hidden="1" thickBot="1" x14ac:dyDescent="0.3">
      <c r="A105" s="127" t="s">
        <v>31</v>
      </c>
      <c r="B105" s="7" t="s">
        <v>254</v>
      </c>
      <c r="C105" s="114">
        <v>200</v>
      </c>
      <c r="D105" s="115"/>
      <c r="E105" s="115"/>
      <c r="F105" s="3">
        <f t="shared" ref="F105:H106" si="17">F106</f>
        <v>19601.2</v>
      </c>
      <c r="G105" s="3">
        <f t="shared" si="17"/>
        <v>15554</v>
      </c>
      <c r="H105" s="77">
        <f t="shared" si="17"/>
        <v>15554</v>
      </c>
    </row>
    <row r="106" spans="1:8" s="55" customFormat="1" ht="16.5" hidden="1" thickBot="1" x14ac:dyDescent="0.3">
      <c r="A106" s="128" t="s">
        <v>67</v>
      </c>
      <c r="B106" s="7" t="s">
        <v>254</v>
      </c>
      <c r="C106" s="114">
        <v>240</v>
      </c>
      <c r="D106" s="115"/>
      <c r="E106" s="115"/>
      <c r="F106" s="3">
        <f t="shared" si="17"/>
        <v>19601.2</v>
      </c>
      <c r="G106" s="3">
        <f t="shared" si="17"/>
        <v>15554</v>
      </c>
      <c r="H106" s="77">
        <f t="shared" si="17"/>
        <v>15554</v>
      </c>
    </row>
    <row r="107" spans="1:8" s="55" customFormat="1" ht="16.5" hidden="1" thickBot="1" x14ac:dyDescent="0.3">
      <c r="A107" s="343" t="s">
        <v>53</v>
      </c>
      <c r="B107" s="7" t="s">
        <v>254</v>
      </c>
      <c r="C107" s="114">
        <v>240</v>
      </c>
      <c r="D107" s="115" t="s">
        <v>36</v>
      </c>
      <c r="E107" s="115" t="s">
        <v>49</v>
      </c>
      <c r="F107" s="3">
        <f>пр.4!G138</f>
        <v>19601.2</v>
      </c>
      <c r="G107" s="3">
        <f>пр.4!H138</f>
        <v>15554</v>
      </c>
      <c r="H107" s="77">
        <f>пр.4!I138</f>
        <v>15554</v>
      </c>
    </row>
    <row r="108" spans="1:8" s="55" customFormat="1" ht="15.75" hidden="1" customHeight="1" x14ac:dyDescent="0.25">
      <c r="A108" s="9" t="s">
        <v>256</v>
      </c>
      <c r="B108" s="5" t="s">
        <v>255</v>
      </c>
      <c r="C108" s="114"/>
      <c r="D108" s="115"/>
      <c r="E108" s="115"/>
      <c r="F108" s="3">
        <f>F109</f>
        <v>22050.68965</v>
      </c>
      <c r="G108" s="3">
        <f>G109</f>
        <v>0</v>
      </c>
      <c r="H108" s="3">
        <f>H109</f>
        <v>0</v>
      </c>
    </row>
    <row r="109" spans="1:8" s="55" customFormat="1" ht="16.5" hidden="1" thickBot="1" x14ac:dyDescent="0.3">
      <c r="A109" s="127" t="s">
        <v>31</v>
      </c>
      <c r="B109" s="7" t="s">
        <v>255</v>
      </c>
      <c r="C109" s="114">
        <v>200</v>
      </c>
      <c r="D109" s="115"/>
      <c r="E109" s="115"/>
      <c r="F109" s="3">
        <f t="shared" ref="F109:H110" si="18">F110</f>
        <v>22050.68965</v>
      </c>
      <c r="G109" s="3">
        <f t="shared" si="18"/>
        <v>0</v>
      </c>
      <c r="H109" s="77">
        <f t="shared" si="18"/>
        <v>0</v>
      </c>
    </row>
    <row r="110" spans="1:8" s="55" customFormat="1" ht="15.75" hidden="1" customHeight="1" x14ac:dyDescent="0.25">
      <c r="A110" s="128" t="s">
        <v>67</v>
      </c>
      <c r="B110" s="7" t="s">
        <v>255</v>
      </c>
      <c r="C110" s="114">
        <v>240</v>
      </c>
      <c r="D110" s="115"/>
      <c r="E110" s="115"/>
      <c r="F110" s="3">
        <f t="shared" si="18"/>
        <v>22050.68965</v>
      </c>
      <c r="G110" s="3">
        <f t="shared" si="18"/>
        <v>0</v>
      </c>
      <c r="H110" s="77">
        <f t="shared" si="18"/>
        <v>0</v>
      </c>
    </row>
    <row r="111" spans="1:8" s="55" customFormat="1" ht="16.5" hidden="1" thickBot="1" x14ac:dyDescent="0.3">
      <c r="A111" s="343" t="s">
        <v>53</v>
      </c>
      <c r="B111" s="7" t="s">
        <v>255</v>
      </c>
      <c r="C111" s="114">
        <v>240</v>
      </c>
      <c r="D111" s="115" t="s">
        <v>36</v>
      </c>
      <c r="E111" s="115" t="s">
        <v>49</v>
      </c>
      <c r="F111" s="3">
        <f>пр.4!G141</f>
        <v>22050.68965</v>
      </c>
      <c r="G111" s="3">
        <f>пр.4!H141</f>
        <v>0</v>
      </c>
      <c r="H111" s="77">
        <f>пр.4!I141</f>
        <v>0</v>
      </c>
    </row>
    <row r="112" spans="1:8" s="55" customFormat="1" ht="26.25" hidden="1" thickBot="1" x14ac:dyDescent="0.3">
      <c r="A112" s="127" t="s">
        <v>411</v>
      </c>
      <c r="B112" s="7" t="s">
        <v>395</v>
      </c>
      <c r="C112" s="114"/>
      <c r="D112" s="115"/>
      <c r="E112" s="115"/>
      <c r="F112" s="3">
        <f>F113</f>
        <v>2820.3484100000001</v>
      </c>
      <c r="G112" s="3">
        <f t="shared" ref="G112:H114" si="19">G113</f>
        <v>2481.0922599999999</v>
      </c>
      <c r="H112" s="77">
        <f t="shared" si="19"/>
        <v>2554.5852100000002</v>
      </c>
    </row>
    <row r="113" spans="1:8" s="55" customFormat="1" ht="16.5" hidden="1" thickBot="1" x14ac:dyDescent="0.3">
      <c r="A113" s="127" t="s">
        <v>31</v>
      </c>
      <c r="B113" s="7" t="s">
        <v>395</v>
      </c>
      <c r="C113" s="114">
        <v>200</v>
      </c>
      <c r="D113" s="115"/>
      <c r="E113" s="115"/>
      <c r="F113" s="3">
        <f>F114</f>
        <v>2820.3484100000001</v>
      </c>
      <c r="G113" s="3">
        <f t="shared" si="19"/>
        <v>2481.0922599999999</v>
      </c>
      <c r="H113" s="77">
        <f t="shared" si="19"/>
        <v>2554.5852100000002</v>
      </c>
    </row>
    <row r="114" spans="1:8" s="55" customFormat="1" ht="16.5" hidden="1" thickBot="1" x14ac:dyDescent="0.3">
      <c r="A114" s="128" t="s">
        <v>67</v>
      </c>
      <c r="B114" s="7" t="s">
        <v>395</v>
      </c>
      <c r="C114" s="114">
        <v>240</v>
      </c>
      <c r="D114" s="115"/>
      <c r="E114" s="115"/>
      <c r="F114" s="3">
        <f>F115</f>
        <v>2820.3484100000001</v>
      </c>
      <c r="G114" s="3">
        <f t="shared" si="19"/>
        <v>2481.0922599999999</v>
      </c>
      <c r="H114" s="77">
        <f t="shared" si="19"/>
        <v>2554.5852100000002</v>
      </c>
    </row>
    <row r="115" spans="1:8" s="55" customFormat="1" ht="16.5" hidden="1" thickBot="1" x14ac:dyDescent="0.3">
      <c r="A115" s="343" t="s">
        <v>53</v>
      </c>
      <c r="B115" s="7" t="s">
        <v>395</v>
      </c>
      <c r="C115" s="114">
        <v>240</v>
      </c>
      <c r="D115" s="115" t="s">
        <v>36</v>
      </c>
      <c r="E115" s="115" t="s">
        <v>49</v>
      </c>
      <c r="F115" s="3">
        <f>пр.4!G147</f>
        <v>2820.3484100000001</v>
      </c>
      <c r="G115" s="3">
        <f>пр.4!H147</f>
        <v>2481.0922599999999</v>
      </c>
      <c r="H115" s="77">
        <f>пр.4!I147</f>
        <v>2554.5852100000002</v>
      </c>
    </row>
    <row r="116" spans="1:8" s="55" customFormat="1" ht="26.25" hidden="1" thickBot="1" x14ac:dyDescent="0.3">
      <c r="A116" s="86" t="s">
        <v>303</v>
      </c>
      <c r="B116" s="4" t="s">
        <v>257</v>
      </c>
      <c r="C116" s="114"/>
      <c r="D116" s="115"/>
      <c r="E116" s="115"/>
      <c r="F116" s="3">
        <f t="shared" ref="F116:H118" si="20">F117</f>
        <v>34458.376090000005</v>
      </c>
      <c r="G116" s="3">
        <f t="shared" si="20"/>
        <v>0</v>
      </c>
      <c r="H116" s="77">
        <f t="shared" si="20"/>
        <v>0</v>
      </c>
    </row>
    <row r="117" spans="1:8" s="55" customFormat="1" ht="16.5" hidden="1" thickBot="1" x14ac:dyDescent="0.3">
      <c r="A117" s="127" t="s">
        <v>31</v>
      </c>
      <c r="B117" s="114" t="s">
        <v>257</v>
      </c>
      <c r="C117" s="114">
        <v>200</v>
      </c>
      <c r="D117" s="115"/>
      <c r="E117" s="115"/>
      <c r="F117" s="3">
        <f t="shared" si="20"/>
        <v>34458.376090000005</v>
      </c>
      <c r="G117" s="3">
        <f t="shared" si="20"/>
        <v>0</v>
      </c>
      <c r="H117" s="77">
        <f t="shared" si="20"/>
        <v>0</v>
      </c>
    </row>
    <row r="118" spans="1:8" s="55" customFormat="1" ht="16.5" hidden="1" thickBot="1" x14ac:dyDescent="0.3">
      <c r="A118" s="128" t="s">
        <v>67</v>
      </c>
      <c r="B118" s="114" t="s">
        <v>257</v>
      </c>
      <c r="C118" s="114">
        <v>240</v>
      </c>
      <c r="D118" s="115"/>
      <c r="E118" s="115"/>
      <c r="F118" s="3">
        <f t="shared" si="20"/>
        <v>34458.376090000005</v>
      </c>
      <c r="G118" s="3">
        <f t="shared" si="20"/>
        <v>0</v>
      </c>
      <c r="H118" s="77">
        <f t="shared" si="20"/>
        <v>0</v>
      </c>
    </row>
    <row r="119" spans="1:8" s="55" customFormat="1" ht="16.5" hidden="1" thickBot="1" x14ac:dyDescent="0.3">
      <c r="A119" s="343" t="s">
        <v>53</v>
      </c>
      <c r="B119" s="114" t="s">
        <v>257</v>
      </c>
      <c r="C119" s="114">
        <v>240</v>
      </c>
      <c r="D119" s="115" t="s">
        <v>36</v>
      </c>
      <c r="E119" s="115" t="s">
        <v>49</v>
      </c>
      <c r="F119" s="3">
        <f>пр.4!G144</f>
        <v>34458.376090000005</v>
      </c>
      <c r="G119" s="3">
        <f>пр.4!H144</f>
        <v>0</v>
      </c>
      <c r="H119" s="77">
        <f>пр.4!I144</f>
        <v>0</v>
      </c>
    </row>
    <row r="120" spans="1:8" s="55" customFormat="1" ht="16.5" hidden="1" thickBot="1" x14ac:dyDescent="0.3">
      <c r="A120" s="102" t="s">
        <v>286</v>
      </c>
      <c r="B120" s="112" t="s">
        <v>287</v>
      </c>
      <c r="C120" s="103"/>
      <c r="D120" s="104"/>
      <c r="E120" s="104"/>
      <c r="F120" s="73">
        <f>F121</f>
        <v>3000</v>
      </c>
      <c r="G120" s="73">
        <f>G121</f>
        <v>500</v>
      </c>
      <c r="H120" s="74">
        <f>H121</f>
        <v>500</v>
      </c>
    </row>
    <row r="121" spans="1:8" s="55" customFormat="1" ht="16.5" hidden="1" thickBot="1" x14ac:dyDescent="0.3">
      <c r="A121" s="86" t="s">
        <v>289</v>
      </c>
      <c r="B121" s="5" t="s">
        <v>288</v>
      </c>
      <c r="C121" s="4"/>
      <c r="D121" s="1"/>
      <c r="E121" s="1"/>
      <c r="F121" s="3">
        <f>F123</f>
        <v>3000</v>
      </c>
      <c r="G121" s="3">
        <f>G123</f>
        <v>500</v>
      </c>
      <c r="H121" s="77">
        <f>H123</f>
        <v>500</v>
      </c>
    </row>
    <row r="122" spans="1:8" s="55" customFormat="1" ht="16.5" hidden="1" thickBot="1" x14ac:dyDescent="0.3">
      <c r="A122" s="9" t="s">
        <v>31</v>
      </c>
      <c r="B122" s="5" t="s">
        <v>288</v>
      </c>
      <c r="C122" s="4">
        <v>200</v>
      </c>
      <c r="D122" s="1"/>
      <c r="E122" s="1"/>
      <c r="F122" s="3">
        <f>F121</f>
        <v>3000</v>
      </c>
      <c r="G122" s="3">
        <f>G121</f>
        <v>500</v>
      </c>
      <c r="H122" s="77">
        <f>H121</f>
        <v>500</v>
      </c>
    </row>
    <row r="123" spans="1:8" s="55" customFormat="1" ht="16.5" hidden="1" thickBot="1" x14ac:dyDescent="0.3">
      <c r="A123" s="10" t="s">
        <v>67</v>
      </c>
      <c r="B123" s="5" t="s">
        <v>288</v>
      </c>
      <c r="C123" s="4">
        <v>240</v>
      </c>
      <c r="D123" s="1"/>
      <c r="E123" s="1"/>
      <c r="F123" s="3">
        <f>F124</f>
        <v>3000</v>
      </c>
      <c r="G123" s="3">
        <f>G124</f>
        <v>500</v>
      </c>
      <c r="H123" s="77">
        <f>H124</f>
        <v>500</v>
      </c>
    </row>
    <row r="124" spans="1:8" s="55" customFormat="1" ht="16.5" hidden="1" thickBot="1" x14ac:dyDescent="0.3">
      <c r="A124" s="345" t="s">
        <v>53</v>
      </c>
      <c r="B124" s="5" t="s">
        <v>288</v>
      </c>
      <c r="C124" s="4">
        <v>240</v>
      </c>
      <c r="D124" s="1" t="s">
        <v>36</v>
      </c>
      <c r="E124" s="1" t="s">
        <v>49</v>
      </c>
      <c r="F124" s="3">
        <f>пр.4!G151</f>
        <v>3000</v>
      </c>
      <c r="G124" s="3">
        <f>пр.4!H151</f>
        <v>500</v>
      </c>
      <c r="H124" s="77">
        <f>пр.4!I151</f>
        <v>500</v>
      </c>
    </row>
    <row r="125" spans="1:8" s="55" customFormat="1" ht="16.5" hidden="1" thickBot="1" x14ac:dyDescent="0.3">
      <c r="A125" s="12" t="s">
        <v>410</v>
      </c>
      <c r="B125" s="112" t="s">
        <v>386</v>
      </c>
      <c r="C125" s="103"/>
      <c r="D125" s="104"/>
      <c r="E125" s="104"/>
      <c r="F125" s="73">
        <f>SUM(F126)</f>
        <v>0</v>
      </c>
      <c r="G125" s="73">
        <f>SUM(G126)</f>
        <v>5671.5217400000001</v>
      </c>
      <c r="H125" s="74">
        <f>SUM(H126)</f>
        <v>5630.2197900000001</v>
      </c>
    </row>
    <row r="126" spans="1:8" s="55" customFormat="1" ht="16.5" hidden="1" thickBot="1" x14ac:dyDescent="0.3">
      <c r="A126" s="9" t="s">
        <v>389</v>
      </c>
      <c r="B126" s="5" t="s">
        <v>387</v>
      </c>
      <c r="C126" s="4"/>
      <c r="D126" s="1"/>
      <c r="E126" s="1"/>
      <c r="F126" s="3">
        <f>F128</f>
        <v>0</v>
      </c>
      <c r="G126" s="3">
        <f>G128</f>
        <v>5671.5217400000001</v>
      </c>
      <c r="H126" s="77">
        <f>H128</f>
        <v>5630.2197900000001</v>
      </c>
    </row>
    <row r="127" spans="1:8" s="55" customFormat="1" ht="16.5" hidden="1" thickBot="1" x14ac:dyDescent="0.3">
      <c r="A127" s="9" t="s">
        <v>412</v>
      </c>
      <c r="B127" s="5" t="s">
        <v>388</v>
      </c>
      <c r="C127" s="4"/>
      <c r="D127" s="1"/>
      <c r="E127" s="1"/>
      <c r="F127" s="3">
        <f t="shared" ref="F127:H128" si="21">F128</f>
        <v>0</v>
      </c>
      <c r="G127" s="3">
        <f t="shared" si="21"/>
        <v>5671.5217400000001</v>
      </c>
      <c r="H127" s="77">
        <f t="shared" si="21"/>
        <v>5630.2197900000001</v>
      </c>
    </row>
    <row r="128" spans="1:8" s="55" customFormat="1" ht="16.5" hidden="1" thickBot="1" x14ac:dyDescent="0.3">
      <c r="A128" s="9" t="s">
        <v>31</v>
      </c>
      <c r="B128" s="5" t="s">
        <v>388</v>
      </c>
      <c r="C128" s="4">
        <v>200</v>
      </c>
      <c r="D128" s="1"/>
      <c r="E128" s="1"/>
      <c r="F128" s="3">
        <f t="shared" si="21"/>
        <v>0</v>
      </c>
      <c r="G128" s="3">
        <f t="shared" si="21"/>
        <v>5671.5217400000001</v>
      </c>
      <c r="H128" s="77">
        <f t="shared" si="21"/>
        <v>5630.2197900000001</v>
      </c>
    </row>
    <row r="129" spans="1:8" s="55" customFormat="1" ht="16.5" hidden="1" thickBot="1" x14ac:dyDescent="0.3">
      <c r="A129" s="10" t="s">
        <v>67</v>
      </c>
      <c r="B129" s="5" t="s">
        <v>388</v>
      </c>
      <c r="C129" s="4">
        <v>240</v>
      </c>
      <c r="D129" s="1"/>
      <c r="E129" s="1"/>
      <c r="F129" s="3">
        <v>0</v>
      </c>
      <c r="G129" s="3">
        <f>G130</f>
        <v>5671.5217400000001</v>
      </c>
      <c r="H129" s="77">
        <f>H130</f>
        <v>5630.2197900000001</v>
      </c>
    </row>
    <row r="130" spans="1:8" s="55" customFormat="1" ht="16.5" hidden="1" thickBot="1" x14ac:dyDescent="0.3">
      <c r="A130" s="344" t="s">
        <v>53</v>
      </c>
      <c r="B130" s="130" t="s">
        <v>388</v>
      </c>
      <c r="C130" s="307">
        <v>240</v>
      </c>
      <c r="D130" s="163" t="s">
        <v>36</v>
      </c>
      <c r="E130" s="163" t="s">
        <v>49</v>
      </c>
      <c r="F130" s="164">
        <f>пр.4!G156</f>
        <v>0</v>
      </c>
      <c r="G130" s="164">
        <f>пр.4!H156</f>
        <v>5671.5217400000001</v>
      </c>
      <c r="H130" s="165">
        <f>пр.4!I156</f>
        <v>5630.2197900000001</v>
      </c>
    </row>
    <row r="131" spans="1:8" s="55" customFormat="1" ht="26.25" thickBot="1" x14ac:dyDescent="0.3">
      <c r="A131" s="516" t="s">
        <v>376</v>
      </c>
      <c r="B131" s="59" t="s">
        <v>55</v>
      </c>
      <c r="C131" s="59"/>
      <c r="D131" s="67"/>
      <c r="E131" s="67"/>
      <c r="F131" s="517">
        <f>SUM(F132)</f>
        <v>500</v>
      </c>
      <c r="G131" s="517">
        <f>SUM(G132)</f>
        <v>394.01600000000002</v>
      </c>
      <c r="H131" s="518">
        <f>SUM(H132)</f>
        <v>394.01600000000002</v>
      </c>
    </row>
    <row r="132" spans="1:8" s="55" customFormat="1" ht="16.5" hidden="1" thickBot="1" x14ac:dyDescent="0.3">
      <c r="A132" s="213" t="s">
        <v>232</v>
      </c>
      <c r="B132" s="214" t="s">
        <v>260</v>
      </c>
      <c r="C132" s="318"/>
      <c r="D132" s="319"/>
      <c r="E132" s="319"/>
      <c r="F132" s="71">
        <f t="shared" ref="F132:H133" si="22">F133</f>
        <v>500</v>
      </c>
      <c r="G132" s="71">
        <f t="shared" si="22"/>
        <v>394.01600000000002</v>
      </c>
      <c r="H132" s="72">
        <f t="shared" si="22"/>
        <v>394.01600000000002</v>
      </c>
    </row>
    <row r="133" spans="1:8" s="55" customFormat="1" ht="16.5" hidden="1" thickBot="1" x14ac:dyDescent="0.3">
      <c r="A133" s="89" t="s">
        <v>258</v>
      </c>
      <c r="B133" s="112" t="s">
        <v>259</v>
      </c>
      <c r="C133" s="87"/>
      <c r="D133" s="88"/>
      <c r="E133" s="88"/>
      <c r="F133" s="73">
        <f t="shared" si="22"/>
        <v>500</v>
      </c>
      <c r="G133" s="73">
        <f t="shared" si="22"/>
        <v>394.01600000000002</v>
      </c>
      <c r="H133" s="74">
        <f t="shared" si="22"/>
        <v>394.01600000000002</v>
      </c>
    </row>
    <row r="134" spans="1:8" s="55" customFormat="1" ht="16.5" hidden="1" thickBot="1" x14ac:dyDescent="0.3">
      <c r="A134" s="9" t="s">
        <v>59</v>
      </c>
      <c r="B134" s="5" t="s">
        <v>261</v>
      </c>
      <c r="C134" s="56"/>
      <c r="D134" s="76"/>
      <c r="E134" s="76"/>
      <c r="F134" s="3">
        <f>F136</f>
        <v>500</v>
      </c>
      <c r="G134" s="3">
        <f>G136</f>
        <v>394.01600000000002</v>
      </c>
      <c r="H134" s="77">
        <f>H136</f>
        <v>394.01600000000002</v>
      </c>
    </row>
    <row r="135" spans="1:8" s="55" customFormat="1" ht="16.5" hidden="1" thickBot="1" x14ac:dyDescent="0.3">
      <c r="A135" s="75" t="s">
        <v>31</v>
      </c>
      <c r="B135" s="5" t="s">
        <v>261</v>
      </c>
      <c r="C135" s="56">
        <v>200</v>
      </c>
      <c r="D135" s="76"/>
      <c r="E135" s="76"/>
      <c r="F135" s="3">
        <f t="shared" ref="F135:H136" si="23">F136</f>
        <v>500</v>
      </c>
      <c r="G135" s="3">
        <f t="shared" si="23"/>
        <v>394.01600000000002</v>
      </c>
      <c r="H135" s="77">
        <f t="shared" si="23"/>
        <v>394.01600000000002</v>
      </c>
    </row>
    <row r="136" spans="1:8" s="55" customFormat="1" ht="16.5" hidden="1" thickBot="1" x14ac:dyDescent="0.3">
      <c r="A136" s="10" t="s">
        <v>67</v>
      </c>
      <c r="B136" s="5" t="s">
        <v>261</v>
      </c>
      <c r="C136" s="56">
        <v>240</v>
      </c>
      <c r="D136" s="76"/>
      <c r="E136" s="76"/>
      <c r="F136" s="3">
        <f t="shared" si="23"/>
        <v>500</v>
      </c>
      <c r="G136" s="3">
        <f t="shared" si="23"/>
        <v>394.01600000000002</v>
      </c>
      <c r="H136" s="77">
        <f t="shared" si="23"/>
        <v>394.01600000000002</v>
      </c>
    </row>
    <row r="137" spans="1:8" s="55" customFormat="1" ht="16.5" hidden="1" thickBot="1" x14ac:dyDescent="0.3">
      <c r="A137" s="346" t="s">
        <v>56</v>
      </c>
      <c r="B137" s="105" t="s">
        <v>261</v>
      </c>
      <c r="C137" s="91">
        <v>240</v>
      </c>
      <c r="D137" s="92" t="s">
        <v>57</v>
      </c>
      <c r="E137" s="92" t="s">
        <v>58</v>
      </c>
      <c r="F137" s="93">
        <f>пр.4!G190</f>
        <v>500</v>
      </c>
      <c r="G137" s="93">
        <f>пр.4!H190</f>
        <v>394.01600000000002</v>
      </c>
      <c r="H137" s="94">
        <f>пр.4!I190</f>
        <v>394.01600000000002</v>
      </c>
    </row>
    <row r="138" spans="1:8" s="55" customFormat="1" ht="26.25" thickBot="1" x14ac:dyDescent="0.3">
      <c r="A138" s="521" t="s">
        <v>377</v>
      </c>
      <c r="B138" s="133" t="s">
        <v>60</v>
      </c>
      <c r="C138" s="133"/>
      <c r="D138" s="133"/>
      <c r="E138" s="133"/>
      <c r="F138" s="522">
        <f>F139</f>
        <v>142267.85149999999</v>
      </c>
      <c r="G138" s="522">
        <f>G139</f>
        <v>45218.5236</v>
      </c>
      <c r="H138" s="523">
        <f>H139</f>
        <v>45218.5236</v>
      </c>
    </row>
    <row r="139" spans="1:8" s="55" customFormat="1" ht="16.5" hidden="1" thickBot="1" x14ac:dyDescent="0.3">
      <c r="A139" s="320" t="s">
        <v>232</v>
      </c>
      <c r="B139" s="321" t="s">
        <v>262</v>
      </c>
      <c r="C139" s="136"/>
      <c r="D139" s="136"/>
      <c r="E139" s="136"/>
      <c r="F139" s="322">
        <f>F140+F149</f>
        <v>142267.85149999999</v>
      </c>
      <c r="G139" s="322">
        <f>G140+G149</f>
        <v>45218.5236</v>
      </c>
      <c r="H139" s="323">
        <f>H140+H149</f>
        <v>45218.5236</v>
      </c>
    </row>
    <row r="140" spans="1:8" s="55" customFormat="1" ht="26.25" hidden="1" thickBot="1" x14ac:dyDescent="0.3">
      <c r="A140" s="324" t="s">
        <v>263</v>
      </c>
      <c r="B140" s="139" t="s">
        <v>264</v>
      </c>
      <c r="C140" s="139"/>
      <c r="D140" s="325"/>
      <c r="E140" s="325"/>
      <c r="F140" s="140">
        <f>F141+F145</f>
        <v>139927.85149999999</v>
      </c>
      <c r="G140" s="140">
        <f>G141+G145</f>
        <v>44218.5236</v>
      </c>
      <c r="H140" s="141">
        <f>H141+H145</f>
        <v>44218.5236</v>
      </c>
    </row>
    <row r="141" spans="1:8" s="55" customFormat="1" ht="26.25" hidden="1" thickBot="1" x14ac:dyDescent="0.3">
      <c r="A141" s="137" t="s">
        <v>378</v>
      </c>
      <c r="B141" s="138" t="s">
        <v>265</v>
      </c>
      <c r="C141" s="138"/>
      <c r="D141" s="138"/>
      <c r="E141" s="138"/>
      <c r="F141" s="142">
        <f t="shared" ref="F141:H143" si="24">F142</f>
        <v>138002.37993999998</v>
      </c>
      <c r="G141" s="142">
        <f t="shared" si="24"/>
        <v>44218.5236</v>
      </c>
      <c r="H141" s="143">
        <f t="shared" si="24"/>
        <v>44218.5236</v>
      </c>
    </row>
    <row r="142" spans="1:8" s="55" customFormat="1" ht="16.5" hidden="1" thickBot="1" x14ac:dyDescent="0.3">
      <c r="A142" s="144" t="s">
        <v>31</v>
      </c>
      <c r="B142" s="138" t="s">
        <v>265</v>
      </c>
      <c r="C142" s="145">
        <v>200</v>
      </c>
      <c r="D142" s="138"/>
      <c r="E142" s="138"/>
      <c r="F142" s="142">
        <f t="shared" si="24"/>
        <v>138002.37993999998</v>
      </c>
      <c r="G142" s="142">
        <f t="shared" si="24"/>
        <v>44218.5236</v>
      </c>
      <c r="H142" s="143">
        <f t="shared" si="24"/>
        <v>44218.5236</v>
      </c>
    </row>
    <row r="143" spans="1:8" s="55" customFormat="1" ht="16.5" hidden="1" thickBot="1" x14ac:dyDescent="0.3">
      <c r="A143" s="146" t="s">
        <v>67</v>
      </c>
      <c r="B143" s="138" t="s">
        <v>265</v>
      </c>
      <c r="C143" s="145">
        <v>240</v>
      </c>
      <c r="D143" s="138"/>
      <c r="E143" s="138"/>
      <c r="F143" s="142">
        <f t="shared" si="24"/>
        <v>138002.37993999998</v>
      </c>
      <c r="G143" s="142">
        <f t="shared" si="24"/>
        <v>44218.5236</v>
      </c>
      <c r="H143" s="143">
        <f t="shared" si="24"/>
        <v>44218.5236</v>
      </c>
    </row>
    <row r="144" spans="1:8" s="55" customFormat="1" ht="16.5" hidden="1" thickBot="1" x14ac:dyDescent="0.3">
      <c r="A144" s="146" t="s">
        <v>61</v>
      </c>
      <c r="B144" s="138" t="s">
        <v>265</v>
      </c>
      <c r="C144" s="145">
        <v>240</v>
      </c>
      <c r="D144" s="138" t="s">
        <v>57</v>
      </c>
      <c r="E144" s="138" t="s">
        <v>40</v>
      </c>
      <c r="F144" s="142">
        <f>пр.4!G197</f>
        <v>138002.37993999998</v>
      </c>
      <c r="G144" s="142">
        <f>пр.4!H197</f>
        <v>44218.5236</v>
      </c>
      <c r="H144" s="143">
        <f>пр.4!I197</f>
        <v>44218.5236</v>
      </c>
    </row>
    <row r="145" spans="1:8" s="55" customFormat="1" ht="26.25" hidden="1" thickBot="1" x14ac:dyDescent="0.3">
      <c r="A145" s="137" t="s">
        <v>266</v>
      </c>
      <c r="B145" s="138" t="s">
        <v>267</v>
      </c>
      <c r="C145" s="147"/>
      <c r="D145" s="138"/>
      <c r="E145" s="138"/>
      <c r="F145" s="142">
        <f t="shared" ref="F145:H147" si="25">F146</f>
        <v>1925.4715600000002</v>
      </c>
      <c r="G145" s="142">
        <f t="shared" si="25"/>
        <v>0</v>
      </c>
      <c r="H145" s="143">
        <f t="shared" si="25"/>
        <v>0</v>
      </c>
    </row>
    <row r="146" spans="1:8" s="55" customFormat="1" ht="16.5" hidden="1" thickBot="1" x14ac:dyDescent="0.3">
      <c r="A146" s="137" t="s">
        <v>31</v>
      </c>
      <c r="B146" s="138" t="s">
        <v>267</v>
      </c>
      <c r="C146" s="148">
        <v>200</v>
      </c>
      <c r="D146" s="138"/>
      <c r="E146" s="138"/>
      <c r="F146" s="142">
        <f t="shared" si="25"/>
        <v>1925.4715600000002</v>
      </c>
      <c r="G146" s="142">
        <f t="shared" si="25"/>
        <v>0</v>
      </c>
      <c r="H146" s="143">
        <f t="shared" si="25"/>
        <v>0</v>
      </c>
    </row>
    <row r="147" spans="1:8" s="55" customFormat="1" ht="16.5" hidden="1" thickBot="1" x14ac:dyDescent="0.3">
      <c r="A147" s="146" t="s">
        <v>67</v>
      </c>
      <c r="B147" s="138" t="s">
        <v>267</v>
      </c>
      <c r="C147" s="148">
        <v>240</v>
      </c>
      <c r="D147" s="138"/>
      <c r="E147" s="138"/>
      <c r="F147" s="142">
        <f t="shared" si="25"/>
        <v>1925.4715600000002</v>
      </c>
      <c r="G147" s="142">
        <f t="shared" si="25"/>
        <v>0</v>
      </c>
      <c r="H147" s="143">
        <f t="shared" si="25"/>
        <v>0</v>
      </c>
    </row>
    <row r="148" spans="1:8" s="55" customFormat="1" ht="16.5" hidden="1" thickBot="1" x14ac:dyDescent="0.3">
      <c r="A148" s="146" t="s">
        <v>61</v>
      </c>
      <c r="B148" s="138" t="s">
        <v>267</v>
      </c>
      <c r="C148" s="148">
        <v>240</v>
      </c>
      <c r="D148" s="138" t="s">
        <v>57</v>
      </c>
      <c r="E148" s="138" t="s">
        <v>40</v>
      </c>
      <c r="F148" s="142">
        <f>пр.4!G200</f>
        <v>1925.4715600000002</v>
      </c>
      <c r="G148" s="142">
        <f>пр.4!H200</f>
        <v>0</v>
      </c>
      <c r="H148" s="143">
        <f>пр.4!I200</f>
        <v>0</v>
      </c>
    </row>
    <row r="149" spans="1:8" s="55" customFormat="1" ht="16.5" hidden="1" thickBot="1" x14ac:dyDescent="0.3">
      <c r="A149" s="324" t="s">
        <v>268</v>
      </c>
      <c r="B149" s="139" t="s">
        <v>270</v>
      </c>
      <c r="C149" s="326"/>
      <c r="D149" s="139"/>
      <c r="E149" s="139"/>
      <c r="F149" s="140">
        <f>F150</f>
        <v>2340</v>
      </c>
      <c r="G149" s="140">
        <f>G150</f>
        <v>1000</v>
      </c>
      <c r="H149" s="141">
        <f>H150</f>
        <v>1000</v>
      </c>
    </row>
    <row r="150" spans="1:8" s="55" customFormat="1" ht="16.5" hidden="1" thickBot="1" x14ac:dyDescent="0.3">
      <c r="A150" s="137" t="s">
        <v>269</v>
      </c>
      <c r="B150" s="138" t="s">
        <v>271</v>
      </c>
      <c r="C150" s="147"/>
      <c r="D150" s="138"/>
      <c r="E150" s="138"/>
      <c r="F150" s="142">
        <f>F152</f>
        <v>2340</v>
      </c>
      <c r="G150" s="142">
        <f>G152</f>
        <v>1000</v>
      </c>
      <c r="H150" s="143">
        <f>H152</f>
        <v>1000</v>
      </c>
    </row>
    <row r="151" spans="1:8" s="55" customFormat="1" ht="16.5" hidden="1" thickBot="1" x14ac:dyDescent="0.3">
      <c r="A151" s="137" t="s">
        <v>31</v>
      </c>
      <c r="B151" s="138" t="s">
        <v>271</v>
      </c>
      <c r="C151" s="148">
        <v>200</v>
      </c>
      <c r="D151" s="138"/>
      <c r="E151" s="138"/>
      <c r="F151" s="142">
        <f t="shared" ref="F151:H152" si="26">F152</f>
        <v>2340</v>
      </c>
      <c r="G151" s="142">
        <f t="shared" si="26"/>
        <v>1000</v>
      </c>
      <c r="H151" s="143">
        <f t="shared" si="26"/>
        <v>1000</v>
      </c>
    </row>
    <row r="152" spans="1:8" s="55" customFormat="1" ht="16.5" hidden="1" thickBot="1" x14ac:dyDescent="0.3">
      <c r="A152" s="146" t="s">
        <v>67</v>
      </c>
      <c r="B152" s="138" t="s">
        <v>271</v>
      </c>
      <c r="C152" s="148">
        <v>240</v>
      </c>
      <c r="D152" s="138"/>
      <c r="E152" s="138"/>
      <c r="F152" s="142">
        <f t="shared" si="26"/>
        <v>2340</v>
      </c>
      <c r="G152" s="142">
        <f t="shared" si="26"/>
        <v>1000</v>
      </c>
      <c r="H152" s="143">
        <f t="shared" si="26"/>
        <v>1000</v>
      </c>
    </row>
    <row r="153" spans="1:8" s="55" customFormat="1" ht="16.5" hidden="1" thickBot="1" x14ac:dyDescent="0.3">
      <c r="A153" s="347" t="s">
        <v>61</v>
      </c>
      <c r="B153" s="149" t="s">
        <v>271</v>
      </c>
      <c r="C153" s="150">
        <v>240</v>
      </c>
      <c r="D153" s="149" t="s">
        <v>57</v>
      </c>
      <c r="E153" s="149" t="s">
        <v>40</v>
      </c>
      <c r="F153" s="151">
        <f>пр.4!G204</f>
        <v>2340</v>
      </c>
      <c r="G153" s="151">
        <f>пр.4!H204</f>
        <v>1000</v>
      </c>
      <c r="H153" s="152">
        <f>пр.4!I204</f>
        <v>1000</v>
      </c>
    </row>
    <row r="154" spans="1:8" s="55" customFormat="1" ht="26.25" thickBot="1" x14ac:dyDescent="0.3">
      <c r="A154" s="524" t="s">
        <v>379</v>
      </c>
      <c r="B154" s="59" t="s">
        <v>62</v>
      </c>
      <c r="C154" s="59"/>
      <c r="D154" s="67"/>
      <c r="E154" s="67"/>
      <c r="F154" s="517">
        <f>SUM(F155)</f>
        <v>100</v>
      </c>
      <c r="G154" s="517">
        <f>SUM(G155)</f>
        <v>100</v>
      </c>
      <c r="H154" s="518">
        <f>SUM(H155)</f>
        <v>100</v>
      </c>
    </row>
    <row r="155" spans="1:8" s="55" customFormat="1" ht="16.5" hidden="1" thickBot="1" x14ac:dyDescent="0.3">
      <c r="A155" s="185" t="s">
        <v>232</v>
      </c>
      <c r="B155" s="186" t="s">
        <v>272</v>
      </c>
      <c r="C155" s="108"/>
      <c r="D155" s="311"/>
      <c r="E155" s="311"/>
      <c r="F155" s="110">
        <f>SUM(F157)</f>
        <v>100</v>
      </c>
      <c r="G155" s="110">
        <f>SUM(G157)</f>
        <v>100</v>
      </c>
      <c r="H155" s="111">
        <f>SUM(H157)</f>
        <v>100</v>
      </c>
    </row>
    <row r="156" spans="1:8" s="55" customFormat="1" ht="26.25" hidden="1" thickBot="1" x14ac:dyDescent="0.3">
      <c r="A156" s="89" t="s">
        <v>380</v>
      </c>
      <c r="B156" s="112" t="s">
        <v>273</v>
      </c>
      <c r="C156" s="87"/>
      <c r="D156" s="88"/>
      <c r="E156" s="88"/>
      <c r="F156" s="73">
        <f t="shared" ref="F156:H159" si="27">F157</f>
        <v>100</v>
      </c>
      <c r="G156" s="73">
        <f t="shared" si="27"/>
        <v>100</v>
      </c>
      <c r="H156" s="74">
        <f t="shared" si="27"/>
        <v>100</v>
      </c>
    </row>
    <row r="157" spans="1:8" s="55" customFormat="1" ht="16.5" hidden="1" thickBot="1" x14ac:dyDescent="0.3">
      <c r="A157" s="9" t="s">
        <v>63</v>
      </c>
      <c r="B157" s="5" t="s">
        <v>274</v>
      </c>
      <c r="C157" s="56"/>
      <c r="D157" s="76"/>
      <c r="E157" s="76"/>
      <c r="F157" s="3">
        <f t="shared" si="27"/>
        <v>100</v>
      </c>
      <c r="G157" s="3">
        <f t="shared" si="27"/>
        <v>100</v>
      </c>
      <c r="H157" s="77">
        <f t="shared" si="27"/>
        <v>100</v>
      </c>
    </row>
    <row r="158" spans="1:8" s="55" customFormat="1" ht="16.5" hidden="1" thickBot="1" x14ac:dyDescent="0.3">
      <c r="A158" s="75" t="s">
        <v>31</v>
      </c>
      <c r="B158" s="5" t="s">
        <v>274</v>
      </c>
      <c r="C158" s="56">
        <v>200</v>
      </c>
      <c r="D158" s="76"/>
      <c r="E158" s="76"/>
      <c r="F158" s="3">
        <f t="shared" si="27"/>
        <v>100</v>
      </c>
      <c r="G158" s="3">
        <f t="shared" si="27"/>
        <v>100</v>
      </c>
      <c r="H158" s="77">
        <f t="shared" si="27"/>
        <v>100</v>
      </c>
    </row>
    <row r="159" spans="1:8" s="55" customFormat="1" ht="16.5" hidden="1" thickBot="1" x14ac:dyDescent="0.3">
      <c r="A159" s="10" t="s">
        <v>67</v>
      </c>
      <c r="B159" s="5" t="s">
        <v>274</v>
      </c>
      <c r="C159" s="56">
        <v>240</v>
      </c>
      <c r="D159" s="76"/>
      <c r="E159" s="76"/>
      <c r="F159" s="3">
        <f t="shared" si="27"/>
        <v>100</v>
      </c>
      <c r="G159" s="3">
        <f t="shared" si="27"/>
        <v>100</v>
      </c>
      <c r="H159" s="77">
        <f t="shared" si="27"/>
        <v>100</v>
      </c>
    </row>
    <row r="160" spans="1:8" s="55" customFormat="1" ht="16.5" hidden="1" thickBot="1" x14ac:dyDescent="0.3">
      <c r="A160" s="338" t="s">
        <v>61</v>
      </c>
      <c r="B160" s="5" t="s">
        <v>274</v>
      </c>
      <c r="C160" s="56">
        <v>240</v>
      </c>
      <c r="D160" s="76" t="s">
        <v>57</v>
      </c>
      <c r="E160" s="76" t="s">
        <v>40</v>
      </c>
      <c r="F160" s="3">
        <f>пр.4!G210</f>
        <v>100</v>
      </c>
      <c r="G160" s="3">
        <f>пр.4!H210</f>
        <v>100</v>
      </c>
      <c r="H160" s="77">
        <f>пр.4!I210</f>
        <v>100</v>
      </c>
    </row>
    <row r="161" spans="1:8" s="55" customFormat="1" ht="39" thickBot="1" x14ac:dyDescent="0.3">
      <c r="A161" s="525" t="s">
        <v>381</v>
      </c>
      <c r="B161" s="158" t="s">
        <v>333</v>
      </c>
      <c r="C161" s="159"/>
      <c r="D161" s="160"/>
      <c r="E161" s="160"/>
      <c r="F161" s="517">
        <f>F162</f>
        <v>1700</v>
      </c>
      <c r="G161" s="517">
        <f t="shared" ref="F161:H162" si="28">G162</f>
        <v>80</v>
      </c>
      <c r="H161" s="518">
        <f t="shared" si="28"/>
        <v>80</v>
      </c>
    </row>
    <row r="162" spans="1:8" s="55" customFormat="1" ht="16.5" hidden="1" thickBot="1" x14ac:dyDescent="0.3">
      <c r="A162" s="213" t="s">
        <v>232</v>
      </c>
      <c r="B162" s="214" t="s">
        <v>275</v>
      </c>
      <c r="C162" s="318"/>
      <c r="D162" s="319"/>
      <c r="E162" s="319"/>
      <c r="F162" s="71">
        <f t="shared" si="28"/>
        <v>1700</v>
      </c>
      <c r="G162" s="71">
        <f t="shared" si="28"/>
        <v>80</v>
      </c>
      <c r="H162" s="72">
        <f t="shared" si="28"/>
        <v>80</v>
      </c>
    </row>
    <row r="163" spans="1:8" s="55" customFormat="1" ht="16.5" hidden="1" thickBot="1" x14ac:dyDescent="0.3">
      <c r="A163" s="89" t="s">
        <v>268</v>
      </c>
      <c r="B163" s="112" t="s">
        <v>276</v>
      </c>
      <c r="C163" s="87"/>
      <c r="D163" s="88"/>
      <c r="E163" s="88"/>
      <c r="F163" s="73">
        <f>F165</f>
        <v>1700</v>
      </c>
      <c r="G163" s="73">
        <f>G165</f>
        <v>80</v>
      </c>
      <c r="H163" s="74">
        <f>H165</f>
        <v>80</v>
      </c>
    </row>
    <row r="164" spans="1:8" s="55" customFormat="1" ht="16.5" hidden="1" thickBot="1" x14ac:dyDescent="0.3">
      <c r="A164" s="89" t="s">
        <v>277</v>
      </c>
      <c r="B164" s="112" t="s">
        <v>278</v>
      </c>
      <c r="C164" s="56"/>
      <c r="D164" s="76"/>
      <c r="E164" s="76"/>
      <c r="F164" s="3">
        <f t="shared" ref="F164:H166" si="29">F165</f>
        <v>1700</v>
      </c>
      <c r="G164" s="3">
        <f t="shared" si="29"/>
        <v>80</v>
      </c>
      <c r="H164" s="77">
        <f t="shared" si="29"/>
        <v>80</v>
      </c>
    </row>
    <row r="165" spans="1:8" s="55" customFormat="1" ht="16.5" hidden="1" thickBot="1" x14ac:dyDescent="0.3">
      <c r="A165" s="161" t="s">
        <v>31</v>
      </c>
      <c r="B165" s="5" t="s">
        <v>278</v>
      </c>
      <c r="C165" s="56">
        <v>200</v>
      </c>
      <c r="D165" s="76"/>
      <c r="E165" s="76"/>
      <c r="F165" s="3">
        <f t="shared" si="29"/>
        <v>1700</v>
      </c>
      <c r="G165" s="3">
        <f t="shared" si="29"/>
        <v>80</v>
      </c>
      <c r="H165" s="77">
        <f t="shared" si="29"/>
        <v>80</v>
      </c>
    </row>
    <row r="166" spans="1:8" s="55" customFormat="1" ht="16.5" hidden="1" thickBot="1" x14ac:dyDescent="0.3">
      <c r="A166" s="117" t="s">
        <v>67</v>
      </c>
      <c r="B166" s="5" t="s">
        <v>278</v>
      </c>
      <c r="C166" s="56">
        <v>240</v>
      </c>
      <c r="D166" s="76"/>
      <c r="E166" s="76"/>
      <c r="F166" s="3">
        <f t="shared" si="29"/>
        <v>1700</v>
      </c>
      <c r="G166" s="3">
        <f t="shared" si="29"/>
        <v>80</v>
      </c>
      <c r="H166" s="77">
        <f t="shared" si="29"/>
        <v>80</v>
      </c>
    </row>
    <row r="167" spans="1:8" s="55" customFormat="1" ht="16.5" hidden="1" thickBot="1" x14ac:dyDescent="0.3">
      <c r="A167" s="162" t="s">
        <v>61</v>
      </c>
      <c r="B167" s="130" t="s">
        <v>278</v>
      </c>
      <c r="C167" s="57">
        <v>240</v>
      </c>
      <c r="D167" s="163" t="s">
        <v>57</v>
      </c>
      <c r="E167" s="163" t="s">
        <v>40</v>
      </c>
      <c r="F167" s="164">
        <f>пр.4!G216</f>
        <v>1700</v>
      </c>
      <c r="G167" s="164">
        <f>пр.4!H216</f>
        <v>80</v>
      </c>
      <c r="H167" s="165">
        <f>пр.4!I216</f>
        <v>80</v>
      </c>
    </row>
    <row r="168" spans="1:8" s="55" customFormat="1" ht="26.25" thickBot="1" x14ac:dyDescent="0.3">
      <c r="A168" s="525" t="s">
        <v>382</v>
      </c>
      <c r="B168" s="158" t="s">
        <v>334</v>
      </c>
      <c r="C168" s="159"/>
      <c r="D168" s="160"/>
      <c r="E168" s="160"/>
      <c r="F168" s="526">
        <f>F175+F169</f>
        <v>100</v>
      </c>
      <c r="G168" s="526">
        <f>G175+G169</f>
        <v>100</v>
      </c>
      <c r="H168" s="527">
        <f>H175+H169</f>
        <v>100</v>
      </c>
    </row>
    <row r="169" spans="1:8" s="55" customFormat="1" ht="16.5" hidden="1" thickBot="1" x14ac:dyDescent="0.3">
      <c r="A169" s="327" t="s">
        <v>232</v>
      </c>
      <c r="B169" s="328" t="s">
        <v>298</v>
      </c>
      <c r="C169" s="329"/>
      <c r="D169" s="329"/>
      <c r="E169" s="329"/>
      <c r="F169" s="282">
        <f t="shared" ref="F169:H173" si="30">F170</f>
        <v>50</v>
      </c>
      <c r="G169" s="282">
        <f t="shared" si="30"/>
        <v>50</v>
      </c>
      <c r="H169" s="283">
        <f t="shared" si="30"/>
        <v>50</v>
      </c>
    </row>
    <row r="170" spans="1:8" s="55" customFormat="1" ht="16.5" hidden="1" thickBot="1" x14ac:dyDescent="0.3">
      <c r="A170" s="168" t="s">
        <v>299</v>
      </c>
      <c r="B170" s="139" t="s">
        <v>300</v>
      </c>
      <c r="C170" s="104"/>
      <c r="D170" s="104"/>
      <c r="E170" s="104"/>
      <c r="F170" s="252">
        <f t="shared" si="30"/>
        <v>50</v>
      </c>
      <c r="G170" s="252">
        <f t="shared" si="30"/>
        <v>50</v>
      </c>
      <c r="H170" s="253">
        <f t="shared" si="30"/>
        <v>50</v>
      </c>
    </row>
    <row r="171" spans="1:8" s="55" customFormat="1" ht="16.5" hidden="1" thickBot="1" x14ac:dyDescent="0.3">
      <c r="A171" s="137" t="s">
        <v>302</v>
      </c>
      <c r="B171" s="138" t="s">
        <v>301</v>
      </c>
      <c r="C171" s="1"/>
      <c r="D171" s="1"/>
      <c r="E171" s="1"/>
      <c r="F171" s="6">
        <f t="shared" si="30"/>
        <v>50</v>
      </c>
      <c r="G171" s="6">
        <f t="shared" si="30"/>
        <v>50</v>
      </c>
      <c r="H171" s="11">
        <f t="shared" si="30"/>
        <v>50</v>
      </c>
    </row>
    <row r="172" spans="1:8" s="55" customFormat="1" ht="16.5" hidden="1" thickBot="1" x14ac:dyDescent="0.3">
      <c r="A172" s="161" t="s">
        <v>31</v>
      </c>
      <c r="B172" s="138" t="s">
        <v>301</v>
      </c>
      <c r="C172" s="1" t="s">
        <v>66</v>
      </c>
      <c r="D172" s="1"/>
      <c r="E172" s="1"/>
      <c r="F172" s="6">
        <f t="shared" si="30"/>
        <v>50</v>
      </c>
      <c r="G172" s="6">
        <f t="shared" si="30"/>
        <v>50</v>
      </c>
      <c r="H172" s="11">
        <f t="shared" si="30"/>
        <v>50</v>
      </c>
    </row>
    <row r="173" spans="1:8" s="55" customFormat="1" ht="16.5" hidden="1" thickBot="1" x14ac:dyDescent="0.3">
      <c r="A173" s="117" t="s">
        <v>67</v>
      </c>
      <c r="B173" s="138" t="s">
        <v>301</v>
      </c>
      <c r="C173" s="1" t="s">
        <v>68</v>
      </c>
      <c r="D173" s="1"/>
      <c r="E173" s="1"/>
      <c r="F173" s="6">
        <f t="shared" si="30"/>
        <v>50</v>
      </c>
      <c r="G173" s="6">
        <f t="shared" si="30"/>
        <v>50</v>
      </c>
      <c r="H173" s="11">
        <f t="shared" si="30"/>
        <v>50</v>
      </c>
    </row>
    <row r="174" spans="1:8" s="55" customFormat="1" ht="16.5" hidden="1" thickBot="1" x14ac:dyDescent="0.3">
      <c r="A174" s="117" t="s">
        <v>61</v>
      </c>
      <c r="B174" s="138" t="s">
        <v>301</v>
      </c>
      <c r="C174" s="1" t="s">
        <v>68</v>
      </c>
      <c r="D174" s="1" t="s">
        <v>57</v>
      </c>
      <c r="E174" s="1" t="s">
        <v>40</v>
      </c>
      <c r="F174" s="6">
        <f>пр.4!G222</f>
        <v>50</v>
      </c>
      <c r="G174" s="6">
        <f>пр.4!H222</f>
        <v>50</v>
      </c>
      <c r="H174" s="11">
        <f>пр.4!I222</f>
        <v>50</v>
      </c>
    </row>
    <row r="175" spans="1:8" s="55" customFormat="1" ht="16.5" hidden="1" thickBot="1" x14ac:dyDescent="0.3">
      <c r="A175" s="193" t="s">
        <v>410</v>
      </c>
      <c r="B175" s="194" t="s">
        <v>321</v>
      </c>
      <c r="C175" s="113"/>
      <c r="D175" s="308"/>
      <c r="E175" s="308"/>
      <c r="F175" s="256">
        <f>F177</f>
        <v>50</v>
      </c>
      <c r="G175" s="256">
        <f>G177</f>
        <v>50</v>
      </c>
      <c r="H175" s="257">
        <f>H177</f>
        <v>50</v>
      </c>
    </row>
    <row r="176" spans="1:8" s="55" customFormat="1" ht="16.5" hidden="1" thickBot="1" x14ac:dyDescent="0.3">
      <c r="A176" s="89" t="s">
        <v>320</v>
      </c>
      <c r="B176" s="112" t="s">
        <v>322</v>
      </c>
      <c r="C176" s="87"/>
      <c r="D176" s="88"/>
      <c r="E176" s="88"/>
      <c r="F176" s="252">
        <f t="shared" ref="F176:H179" si="31">F177</f>
        <v>50</v>
      </c>
      <c r="G176" s="252">
        <f t="shared" si="31"/>
        <v>50</v>
      </c>
      <c r="H176" s="253">
        <f t="shared" si="31"/>
        <v>50</v>
      </c>
    </row>
    <row r="177" spans="1:8" s="55" customFormat="1" ht="26.25" hidden="1" thickBot="1" x14ac:dyDescent="0.3">
      <c r="A177" s="9" t="s">
        <v>383</v>
      </c>
      <c r="B177" s="5" t="s">
        <v>323</v>
      </c>
      <c r="C177" s="56"/>
      <c r="D177" s="76"/>
      <c r="E177" s="76"/>
      <c r="F177" s="6">
        <f t="shared" si="31"/>
        <v>50</v>
      </c>
      <c r="G177" s="6">
        <f t="shared" si="31"/>
        <v>50</v>
      </c>
      <c r="H177" s="11">
        <f t="shared" si="31"/>
        <v>50</v>
      </c>
    </row>
    <row r="178" spans="1:8" s="55" customFormat="1" ht="16.5" hidden="1" thickBot="1" x14ac:dyDescent="0.3">
      <c r="A178" s="161" t="s">
        <v>31</v>
      </c>
      <c r="B178" s="85" t="s">
        <v>323</v>
      </c>
      <c r="C178" s="56">
        <v>200</v>
      </c>
      <c r="D178" s="76"/>
      <c r="E178" s="76"/>
      <c r="F178" s="6">
        <f t="shared" si="31"/>
        <v>50</v>
      </c>
      <c r="G178" s="6">
        <f t="shared" si="31"/>
        <v>50</v>
      </c>
      <c r="H178" s="11">
        <f t="shared" si="31"/>
        <v>50</v>
      </c>
    </row>
    <row r="179" spans="1:8" s="55" customFormat="1" ht="16.5" hidden="1" thickBot="1" x14ac:dyDescent="0.3">
      <c r="A179" s="117" t="s">
        <v>67</v>
      </c>
      <c r="B179" s="85" t="s">
        <v>323</v>
      </c>
      <c r="C179" s="56">
        <v>240</v>
      </c>
      <c r="D179" s="76"/>
      <c r="E179" s="76"/>
      <c r="F179" s="6">
        <f t="shared" si="31"/>
        <v>50</v>
      </c>
      <c r="G179" s="6">
        <f t="shared" si="31"/>
        <v>50</v>
      </c>
      <c r="H179" s="11">
        <f t="shared" si="31"/>
        <v>50</v>
      </c>
    </row>
    <row r="180" spans="1:8" s="55" customFormat="1" ht="16.5" hidden="1" thickBot="1" x14ac:dyDescent="0.3">
      <c r="A180" s="162" t="s">
        <v>61</v>
      </c>
      <c r="B180" s="169" t="s">
        <v>323</v>
      </c>
      <c r="C180" s="57">
        <v>240</v>
      </c>
      <c r="D180" s="163" t="s">
        <v>57</v>
      </c>
      <c r="E180" s="163" t="s">
        <v>40</v>
      </c>
      <c r="F180" s="170">
        <f>пр.4!G227</f>
        <v>50</v>
      </c>
      <c r="G180" s="170">
        <f>пр.4!H227</f>
        <v>50</v>
      </c>
      <c r="H180" s="171">
        <f>пр.4!I227</f>
        <v>50</v>
      </c>
    </row>
    <row r="181" spans="1:8" s="55" customFormat="1" ht="26.25" thickBot="1" x14ac:dyDescent="0.3">
      <c r="A181" s="516" t="s">
        <v>384</v>
      </c>
      <c r="B181" s="172" t="s">
        <v>64</v>
      </c>
      <c r="C181" s="172"/>
      <c r="D181" s="172"/>
      <c r="E181" s="172"/>
      <c r="F181" s="517">
        <f t="shared" ref="F181:H182" si="32">F182</f>
        <v>21839.96038</v>
      </c>
      <c r="G181" s="517">
        <f t="shared" si="32"/>
        <v>1500</v>
      </c>
      <c r="H181" s="518">
        <f t="shared" si="32"/>
        <v>1000</v>
      </c>
    </row>
    <row r="182" spans="1:8" s="55" customFormat="1" ht="16.5" hidden="1" thickBot="1" x14ac:dyDescent="0.3">
      <c r="A182" s="193" t="s">
        <v>422</v>
      </c>
      <c r="B182" s="194" t="s">
        <v>319</v>
      </c>
      <c r="C182" s="194"/>
      <c r="D182" s="194"/>
      <c r="E182" s="194"/>
      <c r="F182" s="100">
        <f t="shared" si="32"/>
        <v>21839.96038</v>
      </c>
      <c r="G182" s="100">
        <f t="shared" si="32"/>
        <v>1500</v>
      </c>
      <c r="H182" s="101">
        <f t="shared" si="32"/>
        <v>1000</v>
      </c>
    </row>
    <row r="183" spans="1:8" s="55" customFormat="1" ht="16.5" hidden="1" thickBot="1" x14ac:dyDescent="0.3">
      <c r="A183" s="89" t="s">
        <v>318</v>
      </c>
      <c r="B183" s="112" t="s">
        <v>455</v>
      </c>
      <c r="C183" s="104"/>
      <c r="D183" s="104"/>
      <c r="E183" s="104"/>
      <c r="F183" s="73">
        <f>F185</f>
        <v>21839.96038</v>
      </c>
      <c r="G183" s="73">
        <f>G185</f>
        <v>1500</v>
      </c>
      <c r="H183" s="74">
        <f>H185</f>
        <v>1000</v>
      </c>
    </row>
    <row r="184" spans="1:8" s="55" customFormat="1" ht="16.5" hidden="1" thickBot="1" x14ac:dyDescent="0.3">
      <c r="A184" s="9" t="s">
        <v>153</v>
      </c>
      <c r="B184" s="5" t="s">
        <v>456</v>
      </c>
      <c r="C184" s="1"/>
      <c r="D184" s="1"/>
      <c r="E184" s="1"/>
      <c r="F184" s="3">
        <f t="shared" ref="F184:H186" si="33">F185</f>
        <v>21839.96038</v>
      </c>
      <c r="G184" s="3">
        <f t="shared" si="33"/>
        <v>1500</v>
      </c>
      <c r="H184" s="77">
        <f t="shared" si="33"/>
        <v>1000</v>
      </c>
    </row>
    <row r="185" spans="1:8" s="55" customFormat="1" ht="16.5" hidden="1" thickBot="1" x14ac:dyDescent="0.3">
      <c r="A185" s="156" t="s">
        <v>65</v>
      </c>
      <c r="B185" s="1" t="s">
        <v>456</v>
      </c>
      <c r="C185" s="1" t="s">
        <v>66</v>
      </c>
      <c r="D185" s="1"/>
      <c r="E185" s="1"/>
      <c r="F185" s="3">
        <f t="shared" si="33"/>
        <v>21839.96038</v>
      </c>
      <c r="G185" s="3">
        <f t="shared" si="33"/>
        <v>1500</v>
      </c>
      <c r="H185" s="77">
        <f t="shared" si="33"/>
        <v>1000</v>
      </c>
    </row>
    <row r="186" spans="1:8" s="55" customFormat="1" ht="16.5" hidden="1" thickBot="1" x14ac:dyDescent="0.3">
      <c r="A186" s="117" t="s">
        <v>67</v>
      </c>
      <c r="B186" s="1" t="s">
        <v>456</v>
      </c>
      <c r="C186" s="5" t="s">
        <v>68</v>
      </c>
      <c r="D186" s="1"/>
      <c r="E186" s="1"/>
      <c r="F186" s="3">
        <f t="shared" si="33"/>
        <v>21839.96038</v>
      </c>
      <c r="G186" s="3">
        <f t="shared" si="33"/>
        <v>1500</v>
      </c>
      <c r="H186" s="77">
        <f t="shared" si="33"/>
        <v>1000</v>
      </c>
    </row>
    <row r="187" spans="1:8" s="55" customFormat="1" ht="16.5" hidden="1" thickBot="1" x14ac:dyDescent="0.3">
      <c r="A187" s="162" t="s">
        <v>61</v>
      </c>
      <c r="B187" s="163" t="s">
        <v>456</v>
      </c>
      <c r="C187" s="130" t="s">
        <v>68</v>
      </c>
      <c r="D187" s="163" t="s">
        <v>57</v>
      </c>
      <c r="E187" s="163" t="s">
        <v>40</v>
      </c>
      <c r="F187" s="164">
        <f>пр.4!G233</f>
        <v>21839.96038</v>
      </c>
      <c r="G187" s="164">
        <f>пр.4!H233</f>
        <v>1500</v>
      </c>
      <c r="H187" s="165">
        <f>пр.4!I233</f>
        <v>1000</v>
      </c>
    </row>
    <row r="188" spans="1:8" s="174" customFormat="1" ht="27" thickBot="1" x14ac:dyDescent="0.3">
      <c r="A188" s="528" t="s">
        <v>374</v>
      </c>
      <c r="B188" s="172" t="s">
        <v>290</v>
      </c>
      <c r="C188" s="59"/>
      <c r="D188" s="67"/>
      <c r="E188" s="67"/>
      <c r="F188" s="517">
        <f t="shared" ref="F188:H189" si="34">F189</f>
        <v>5</v>
      </c>
      <c r="G188" s="517">
        <f t="shared" si="34"/>
        <v>5</v>
      </c>
      <c r="H188" s="518">
        <f t="shared" si="34"/>
        <v>5</v>
      </c>
    </row>
    <row r="189" spans="1:8" s="55" customFormat="1" ht="16.5" hidden="1" thickBot="1" x14ac:dyDescent="0.3">
      <c r="A189" s="330" t="s">
        <v>433</v>
      </c>
      <c r="B189" s="214" t="s">
        <v>291</v>
      </c>
      <c r="C189" s="318"/>
      <c r="D189" s="319"/>
      <c r="E189" s="319"/>
      <c r="F189" s="71">
        <f t="shared" si="34"/>
        <v>5</v>
      </c>
      <c r="G189" s="71">
        <f t="shared" si="34"/>
        <v>5</v>
      </c>
      <c r="H189" s="72">
        <f t="shared" si="34"/>
        <v>5</v>
      </c>
    </row>
    <row r="190" spans="1:8" s="55" customFormat="1" ht="27" hidden="1" thickBot="1" x14ac:dyDescent="0.3">
      <c r="A190" s="279" t="s">
        <v>419</v>
      </c>
      <c r="B190" s="112" t="s">
        <v>292</v>
      </c>
      <c r="C190" s="87"/>
      <c r="D190" s="88"/>
      <c r="E190" s="88"/>
      <c r="F190" s="73">
        <f>F192</f>
        <v>5</v>
      </c>
      <c r="G190" s="73">
        <f>G192</f>
        <v>5</v>
      </c>
      <c r="H190" s="74">
        <f>H192</f>
        <v>5</v>
      </c>
    </row>
    <row r="191" spans="1:8" s="55" customFormat="1" ht="27" hidden="1" thickBot="1" x14ac:dyDescent="0.3">
      <c r="A191" s="175" t="s">
        <v>294</v>
      </c>
      <c r="B191" s="5" t="s">
        <v>293</v>
      </c>
      <c r="C191" s="56"/>
      <c r="D191" s="76"/>
      <c r="E191" s="76"/>
      <c r="F191" s="3">
        <f t="shared" ref="F191:H193" si="35">F192</f>
        <v>5</v>
      </c>
      <c r="G191" s="3">
        <f t="shared" si="35"/>
        <v>5</v>
      </c>
      <c r="H191" s="77">
        <f t="shared" si="35"/>
        <v>5</v>
      </c>
    </row>
    <row r="192" spans="1:8" s="55" customFormat="1" ht="16.5" hidden="1" thickBot="1" x14ac:dyDescent="0.3">
      <c r="A192" s="75" t="s">
        <v>31</v>
      </c>
      <c r="B192" s="5" t="s">
        <v>293</v>
      </c>
      <c r="C192" s="56">
        <v>200</v>
      </c>
      <c r="D192" s="76"/>
      <c r="E192" s="76"/>
      <c r="F192" s="3">
        <f t="shared" si="35"/>
        <v>5</v>
      </c>
      <c r="G192" s="3">
        <f t="shared" si="35"/>
        <v>5</v>
      </c>
      <c r="H192" s="77">
        <f t="shared" si="35"/>
        <v>5</v>
      </c>
    </row>
    <row r="193" spans="1:8" s="55" customFormat="1" ht="16.5" hidden="1" thickBot="1" x14ac:dyDescent="0.3">
      <c r="A193" s="10" t="s">
        <v>67</v>
      </c>
      <c r="B193" s="5" t="s">
        <v>293</v>
      </c>
      <c r="C193" s="56">
        <v>240</v>
      </c>
      <c r="D193" s="76"/>
      <c r="E193" s="76"/>
      <c r="F193" s="3">
        <f t="shared" si="35"/>
        <v>5</v>
      </c>
      <c r="G193" s="3">
        <f t="shared" si="35"/>
        <v>5</v>
      </c>
      <c r="H193" s="77">
        <f t="shared" si="35"/>
        <v>5</v>
      </c>
    </row>
    <row r="194" spans="1:8" s="55" customFormat="1" ht="15" hidden="1" customHeight="1" thickBot="1" x14ac:dyDescent="0.3">
      <c r="A194" s="255" t="s">
        <v>295</v>
      </c>
      <c r="B194" s="130" t="s">
        <v>293</v>
      </c>
      <c r="C194" s="57">
        <v>240</v>
      </c>
      <c r="D194" s="131" t="s">
        <v>40</v>
      </c>
      <c r="E194" s="131" t="s">
        <v>118</v>
      </c>
      <c r="F194" s="164">
        <f>пр.4!G105</f>
        <v>5</v>
      </c>
      <c r="G194" s="164">
        <f>пр.4!H105</f>
        <v>5</v>
      </c>
      <c r="H194" s="165">
        <f>пр.4!I105</f>
        <v>5</v>
      </c>
    </row>
    <row r="195" spans="1:8" s="55" customFormat="1" ht="51.75" thickBot="1" x14ac:dyDescent="0.3">
      <c r="A195" s="516" t="s">
        <v>354</v>
      </c>
      <c r="B195" s="59" t="s">
        <v>364</v>
      </c>
      <c r="C195" s="59"/>
      <c r="D195" s="67"/>
      <c r="E195" s="67"/>
      <c r="F195" s="517">
        <f t="shared" ref="F195:H200" si="36">F196</f>
        <v>2364.0216</v>
      </c>
      <c r="G195" s="517">
        <f t="shared" si="36"/>
        <v>0</v>
      </c>
      <c r="H195" s="518">
        <f t="shared" si="36"/>
        <v>0</v>
      </c>
    </row>
    <row r="196" spans="1:8" s="55" customFormat="1" ht="15.75" hidden="1" x14ac:dyDescent="0.25">
      <c r="A196" s="331" t="s">
        <v>232</v>
      </c>
      <c r="B196" s="318" t="s">
        <v>365</v>
      </c>
      <c r="C196" s="318"/>
      <c r="D196" s="319"/>
      <c r="E196" s="319"/>
      <c r="F196" s="71">
        <f t="shared" si="36"/>
        <v>2364.0216</v>
      </c>
      <c r="G196" s="71">
        <f t="shared" si="36"/>
        <v>0</v>
      </c>
      <c r="H196" s="72">
        <f t="shared" si="36"/>
        <v>0</v>
      </c>
    </row>
    <row r="197" spans="1:8" s="55" customFormat="1" ht="15.75" hidden="1" x14ac:dyDescent="0.25">
      <c r="A197" s="154" t="s">
        <v>362</v>
      </c>
      <c r="B197" s="87" t="s">
        <v>366</v>
      </c>
      <c r="C197" s="87"/>
      <c r="D197" s="88"/>
      <c r="E197" s="88"/>
      <c r="F197" s="73">
        <f t="shared" si="36"/>
        <v>2364.0216</v>
      </c>
      <c r="G197" s="73">
        <f t="shared" si="36"/>
        <v>0</v>
      </c>
      <c r="H197" s="74">
        <f t="shared" si="36"/>
        <v>0</v>
      </c>
    </row>
    <row r="198" spans="1:8" s="55" customFormat="1" ht="25.5" hidden="1" x14ac:dyDescent="0.25">
      <c r="A198" s="155" t="s">
        <v>367</v>
      </c>
      <c r="B198" s="56" t="s">
        <v>363</v>
      </c>
      <c r="C198" s="56"/>
      <c r="D198" s="76"/>
      <c r="E198" s="76"/>
      <c r="F198" s="3">
        <f t="shared" si="36"/>
        <v>2364.0216</v>
      </c>
      <c r="G198" s="3">
        <v>0</v>
      </c>
      <c r="H198" s="77">
        <v>0</v>
      </c>
    </row>
    <row r="199" spans="1:8" s="55" customFormat="1" ht="15.75" hidden="1" x14ac:dyDescent="0.25">
      <c r="A199" s="75" t="s">
        <v>31</v>
      </c>
      <c r="B199" s="56" t="s">
        <v>363</v>
      </c>
      <c r="C199" s="56">
        <v>200</v>
      </c>
      <c r="D199" s="76"/>
      <c r="E199" s="76"/>
      <c r="F199" s="3">
        <f t="shared" si="36"/>
        <v>2364.0216</v>
      </c>
      <c r="G199" s="3">
        <f>G200</f>
        <v>0</v>
      </c>
      <c r="H199" s="77">
        <f>H200</f>
        <v>0</v>
      </c>
    </row>
    <row r="200" spans="1:8" s="55" customFormat="1" ht="15.75" hidden="1" x14ac:dyDescent="0.25">
      <c r="A200" s="10" t="s">
        <v>67</v>
      </c>
      <c r="B200" s="56" t="s">
        <v>363</v>
      </c>
      <c r="C200" s="56">
        <v>240</v>
      </c>
      <c r="D200" s="76"/>
      <c r="E200" s="76"/>
      <c r="F200" s="3">
        <f t="shared" si="36"/>
        <v>2364.0216</v>
      </c>
      <c r="G200" s="3">
        <f>G201</f>
        <v>0</v>
      </c>
      <c r="H200" s="77">
        <f>H201</f>
        <v>0</v>
      </c>
    </row>
    <row r="201" spans="1:8" s="55" customFormat="1" ht="15.75" hidden="1" x14ac:dyDescent="0.25">
      <c r="A201" s="348" t="s">
        <v>61</v>
      </c>
      <c r="B201" s="57" t="s">
        <v>363</v>
      </c>
      <c r="C201" s="57">
        <v>240</v>
      </c>
      <c r="D201" s="131" t="s">
        <v>57</v>
      </c>
      <c r="E201" s="131" t="s">
        <v>40</v>
      </c>
      <c r="F201" s="164">
        <f>пр.4!G239</f>
        <v>2364.0216</v>
      </c>
      <c r="G201" s="164">
        <f>пр.4!H239</f>
        <v>0</v>
      </c>
      <c r="H201" s="165">
        <f>пр.4!I239</f>
        <v>0</v>
      </c>
    </row>
    <row r="202" spans="1:8" s="55" customFormat="1" ht="16.5" hidden="1" thickBot="1" x14ac:dyDescent="0.3">
      <c r="A202" s="176" t="s">
        <v>69</v>
      </c>
      <c r="B202" s="177"/>
      <c r="C202" s="177"/>
      <c r="D202" s="177"/>
      <c r="E202" s="178"/>
      <c r="F202" s="179">
        <f>F203+F253+F274</f>
        <v>99775.386709999992</v>
      </c>
      <c r="G202" s="179">
        <f>G203+G253+G274</f>
        <v>91459.451891999983</v>
      </c>
      <c r="H202" s="180">
        <f>H203+H253+H274</f>
        <v>93324.668974</v>
      </c>
    </row>
    <row r="203" spans="1:8" s="55" customFormat="1" ht="26.25" hidden="1" thickBot="1" x14ac:dyDescent="0.3">
      <c r="A203" s="181" t="s">
        <v>10</v>
      </c>
      <c r="B203" s="182" t="s">
        <v>11</v>
      </c>
      <c r="C203" s="182"/>
      <c r="D203" s="182"/>
      <c r="E203" s="182"/>
      <c r="F203" s="183">
        <f>F210+F247+F204</f>
        <v>74928.297579999984</v>
      </c>
      <c r="G203" s="183">
        <f>G210+G247+G204</f>
        <v>70888.099029999983</v>
      </c>
      <c r="H203" s="184">
        <f>H210+H247+H204</f>
        <v>71396.691029999987</v>
      </c>
    </row>
    <row r="204" spans="1:8" s="55" customFormat="1" ht="15.75" hidden="1" x14ac:dyDescent="0.25">
      <c r="A204" s="185" t="s">
        <v>149</v>
      </c>
      <c r="B204" s="186" t="s">
        <v>139</v>
      </c>
      <c r="C204" s="186"/>
      <c r="D204" s="186"/>
      <c r="E204" s="186"/>
      <c r="F204" s="187">
        <f t="shared" ref="F204:H206" si="37">F205</f>
        <v>4549.741</v>
      </c>
      <c r="G204" s="187">
        <f t="shared" si="37"/>
        <v>4549.741</v>
      </c>
      <c r="H204" s="188">
        <f t="shared" si="37"/>
        <v>4549.741</v>
      </c>
    </row>
    <row r="205" spans="1:8" s="55" customFormat="1" ht="15.75" hidden="1" x14ac:dyDescent="0.25">
      <c r="A205" s="89" t="s">
        <v>13</v>
      </c>
      <c r="B205" s="112" t="s">
        <v>140</v>
      </c>
      <c r="C205" s="112"/>
      <c r="D205" s="112"/>
      <c r="E205" s="112"/>
      <c r="F205" s="189">
        <f t="shared" si="37"/>
        <v>4549.741</v>
      </c>
      <c r="G205" s="189">
        <f t="shared" si="37"/>
        <v>4549.741</v>
      </c>
      <c r="H205" s="190">
        <f t="shared" si="37"/>
        <v>4549.741</v>
      </c>
    </row>
    <row r="206" spans="1:8" s="55" customFormat="1" ht="15.75" hidden="1" x14ac:dyDescent="0.25">
      <c r="A206" s="9" t="s">
        <v>149</v>
      </c>
      <c r="B206" s="5" t="s">
        <v>141</v>
      </c>
      <c r="C206" s="5"/>
      <c r="D206" s="5"/>
      <c r="E206" s="5"/>
      <c r="F206" s="191">
        <f>F207</f>
        <v>4549.741</v>
      </c>
      <c r="G206" s="191">
        <f t="shared" si="37"/>
        <v>4549.741</v>
      </c>
      <c r="H206" s="192">
        <f t="shared" si="37"/>
        <v>4549.741</v>
      </c>
    </row>
    <row r="207" spans="1:8" s="55" customFormat="1" ht="25.5" hidden="1" x14ac:dyDescent="0.25">
      <c r="A207" s="9" t="s">
        <v>27</v>
      </c>
      <c r="B207" s="5" t="s">
        <v>141</v>
      </c>
      <c r="C207" s="5" t="s">
        <v>72</v>
      </c>
      <c r="D207" s="5"/>
      <c r="E207" s="5"/>
      <c r="F207" s="191">
        <f t="shared" ref="F207:H208" si="38">F208</f>
        <v>4549.741</v>
      </c>
      <c r="G207" s="191">
        <f t="shared" si="38"/>
        <v>4549.741</v>
      </c>
      <c r="H207" s="192">
        <f t="shared" si="38"/>
        <v>4549.741</v>
      </c>
    </row>
    <row r="208" spans="1:8" s="55" customFormat="1" ht="15.75" hidden="1" x14ac:dyDescent="0.25">
      <c r="A208" s="10" t="s">
        <v>73</v>
      </c>
      <c r="B208" s="5" t="s">
        <v>141</v>
      </c>
      <c r="C208" s="5" t="s">
        <v>74</v>
      </c>
      <c r="D208" s="5"/>
      <c r="E208" s="5"/>
      <c r="F208" s="191">
        <f t="shared" si="38"/>
        <v>4549.741</v>
      </c>
      <c r="G208" s="191">
        <f t="shared" si="38"/>
        <v>4549.741</v>
      </c>
      <c r="H208" s="192">
        <f t="shared" si="38"/>
        <v>4549.741</v>
      </c>
    </row>
    <row r="209" spans="1:8" s="55" customFormat="1" ht="15.75" hidden="1" x14ac:dyDescent="0.25">
      <c r="A209" s="10" t="s">
        <v>148</v>
      </c>
      <c r="B209" s="5" t="s">
        <v>141</v>
      </c>
      <c r="C209" s="5" t="s">
        <v>74</v>
      </c>
      <c r="D209" s="5" t="s">
        <v>30</v>
      </c>
      <c r="E209" s="5" t="s">
        <v>58</v>
      </c>
      <c r="F209" s="191">
        <f>пр.4!G326</f>
        <v>4549.741</v>
      </c>
      <c r="G209" s="191">
        <f>пр.4!H326</f>
        <v>4549.741</v>
      </c>
      <c r="H209" s="192">
        <f>пр.4!I326</f>
        <v>4549.741</v>
      </c>
    </row>
    <row r="210" spans="1:8" s="55" customFormat="1" ht="27" hidden="1" x14ac:dyDescent="0.25">
      <c r="A210" s="193" t="s">
        <v>385</v>
      </c>
      <c r="B210" s="194" t="s">
        <v>12</v>
      </c>
      <c r="C210" s="194"/>
      <c r="D210" s="194"/>
      <c r="E210" s="194"/>
      <c r="F210" s="195">
        <f>F211</f>
        <v>67607.008709999995</v>
      </c>
      <c r="G210" s="195">
        <f>G211</f>
        <v>63566.810159999994</v>
      </c>
      <c r="H210" s="196">
        <f>H211</f>
        <v>64075.402159999998</v>
      </c>
    </row>
    <row r="211" spans="1:8" s="55" customFormat="1" ht="15.75" hidden="1" x14ac:dyDescent="0.25">
      <c r="A211" s="89" t="s">
        <v>13</v>
      </c>
      <c r="B211" s="112" t="s">
        <v>14</v>
      </c>
      <c r="C211" s="112"/>
      <c r="D211" s="112"/>
      <c r="E211" s="112"/>
      <c r="F211" s="189">
        <f>F212+F224+F228+F232+F236+F243</f>
        <v>67607.008709999995</v>
      </c>
      <c r="G211" s="189">
        <f>G212+G224+G228+G232+G236+G243</f>
        <v>63566.810159999994</v>
      </c>
      <c r="H211" s="190">
        <f>H212+H224+H228+H232+H236+H243</f>
        <v>64075.402159999998</v>
      </c>
    </row>
    <row r="212" spans="1:8" s="55" customFormat="1" ht="15.75" hidden="1" x14ac:dyDescent="0.25">
      <c r="A212" s="9" t="s">
        <v>70</v>
      </c>
      <c r="B212" s="5" t="s">
        <v>71</v>
      </c>
      <c r="C212" s="5"/>
      <c r="D212" s="5"/>
      <c r="E212" s="5"/>
      <c r="F212" s="191">
        <f>F213+F221+F217</f>
        <v>62267.824710000001</v>
      </c>
      <c r="G212" s="191">
        <f>G213+G221+G217</f>
        <v>60557.550159999999</v>
      </c>
      <c r="H212" s="192">
        <f>H213+H221+H217</f>
        <v>61066.142160000003</v>
      </c>
    </row>
    <row r="213" spans="1:8" s="55" customFormat="1" ht="25.5" hidden="1" x14ac:dyDescent="0.25">
      <c r="A213" s="9" t="s">
        <v>27</v>
      </c>
      <c r="B213" s="5" t="s">
        <v>71</v>
      </c>
      <c r="C213" s="5" t="s">
        <v>72</v>
      </c>
      <c r="D213" s="5"/>
      <c r="E213" s="5"/>
      <c r="F213" s="191">
        <f>F214</f>
        <v>51623.75056</v>
      </c>
      <c r="G213" s="191">
        <f>G214</f>
        <v>51623.75056</v>
      </c>
      <c r="H213" s="192">
        <f>H214</f>
        <v>51623.75056</v>
      </c>
    </row>
    <row r="214" spans="1:8" s="55" customFormat="1" ht="15.75" hidden="1" x14ac:dyDescent="0.25">
      <c r="A214" s="10" t="s">
        <v>73</v>
      </c>
      <c r="B214" s="5" t="s">
        <v>71</v>
      </c>
      <c r="C214" s="5" t="s">
        <v>74</v>
      </c>
      <c r="D214" s="5"/>
      <c r="E214" s="5"/>
      <c r="F214" s="191">
        <f>F215+F216</f>
        <v>51623.75056</v>
      </c>
      <c r="G214" s="191">
        <f>G215+G216</f>
        <v>51623.75056</v>
      </c>
      <c r="H214" s="192">
        <f>H215+H216</f>
        <v>51623.75056</v>
      </c>
    </row>
    <row r="215" spans="1:8" s="55" customFormat="1" ht="25.5" hidden="1" x14ac:dyDescent="0.25">
      <c r="A215" s="10" t="s">
        <v>405</v>
      </c>
      <c r="B215" s="5" t="s">
        <v>71</v>
      </c>
      <c r="C215" s="5" t="s">
        <v>74</v>
      </c>
      <c r="D215" s="5" t="s">
        <v>30</v>
      </c>
      <c r="E215" s="5" t="s">
        <v>40</v>
      </c>
      <c r="F215" s="191">
        <f>пр.4!G333</f>
        <v>1488.99845</v>
      </c>
      <c r="G215" s="191">
        <f>пр.4!H333</f>
        <v>1488.99845</v>
      </c>
      <c r="H215" s="192">
        <f>пр.4!I333</f>
        <v>1488.99845</v>
      </c>
    </row>
    <row r="216" spans="1:8" s="55" customFormat="1" ht="25.5" hidden="1" x14ac:dyDescent="0.25">
      <c r="A216" s="10" t="s">
        <v>331</v>
      </c>
      <c r="B216" s="5" t="s">
        <v>71</v>
      </c>
      <c r="C216" s="5" t="s">
        <v>74</v>
      </c>
      <c r="D216" s="5" t="s">
        <v>30</v>
      </c>
      <c r="E216" s="5" t="s">
        <v>36</v>
      </c>
      <c r="F216" s="191">
        <f>пр.4!G30</f>
        <v>50134.752110000001</v>
      </c>
      <c r="G216" s="191">
        <f>пр.4!H30</f>
        <v>50134.752110000001</v>
      </c>
      <c r="H216" s="192">
        <f>пр.4!I30</f>
        <v>50134.752110000001</v>
      </c>
    </row>
    <row r="217" spans="1:8" s="55" customFormat="1" ht="15.75" hidden="1" x14ac:dyDescent="0.25">
      <c r="A217" s="75" t="s">
        <v>31</v>
      </c>
      <c r="B217" s="5" t="s">
        <v>71</v>
      </c>
      <c r="C217" s="5" t="s">
        <v>66</v>
      </c>
      <c r="D217" s="5"/>
      <c r="E217" s="5"/>
      <c r="F217" s="191">
        <f>F218</f>
        <v>10152.274599999999</v>
      </c>
      <c r="G217" s="191">
        <f>G218</f>
        <v>8576.7995999999985</v>
      </c>
      <c r="H217" s="192">
        <f>H218</f>
        <v>9085.3916000000008</v>
      </c>
    </row>
    <row r="218" spans="1:8" s="55" customFormat="1" ht="15.75" hidden="1" x14ac:dyDescent="0.25">
      <c r="A218" s="10" t="s">
        <v>67</v>
      </c>
      <c r="B218" s="5" t="s">
        <v>71</v>
      </c>
      <c r="C218" s="5" t="s">
        <v>68</v>
      </c>
      <c r="D218" s="5"/>
      <c r="E218" s="5"/>
      <c r="F218" s="191">
        <f>F219+F220</f>
        <v>10152.274599999999</v>
      </c>
      <c r="G218" s="191">
        <f>G219+G220</f>
        <v>8576.7995999999985</v>
      </c>
      <c r="H218" s="192">
        <f>H219+H220</f>
        <v>9085.3916000000008</v>
      </c>
    </row>
    <row r="219" spans="1:8" s="55" customFormat="1" ht="25.5" hidden="1" x14ac:dyDescent="0.25">
      <c r="A219" s="10" t="s">
        <v>405</v>
      </c>
      <c r="B219" s="5" t="s">
        <v>71</v>
      </c>
      <c r="C219" s="5" t="s">
        <v>68</v>
      </c>
      <c r="D219" s="5" t="s">
        <v>30</v>
      </c>
      <c r="E219" s="5" t="s">
        <v>40</v>
      </c>
      <c r="F219" s="191">
        <f>пр.4!G335</f>
        <v>958.5</v>
      </c>
      <c r="G219" s="191">
        <f>пр.4!H335</f>
        <v>660</v>
      </c>
      <c r="H219" s="192">
        <f>пр.4!I335</f>
        <v>660</v>
      </c>
    </row>
    <row r="220" spans="1:8" s="55" customFormat="1" ht="25.5" hidden="1" x14ac:dyDescent="0.25">
      <c r="A220" s="10" t="s">
        <v>331</v>
      </c>
      <c r="B220" s="5" t="s">
        <v>71</v>
      </c>
      <c r="C220" s="5" t="s">
        <v>68</v>
      </c>
      <c r="D220" s="5" t="s">
        <v>30</v>
      </c>
      <c r="E220" s="5" t="s">
        <v>36</v>
      </c>
      <c r="F220" s="191">
        <f>пр.4!G32</f>
        <v>9193.7745999999988</v>
      </c>
      <c r="G220" s="191">
        <f>пр.4!H32</f>
        <v>7916.7995999999994</v>
      </c>
      <c r="H220" s="192">
        <f>пр.4!I32</f>
        <v>8425.3916000000008</v>
      </c>
    </row>
    <row r="221" spans="1:8" s="55" customFormat="1" ht="15.75" hidden="1" x14ac:dyDescent="0.25">
      <c r="A221" s="75" t="s">
        <v>33</v>
      </c>
      <c r="B221" s="5" t="s">
        <v>71</v>
      </c>
      <c r="C221" s="5" t="s">
        <v>75</v>
      </c>
      <c r="D221" s="5"/>
      <c r="E221" s="5"/>
      <c r="F221" s="191">
        <f t="shared" ref="F221:H222" si="39">F222</f>
        <v>491.79955000000001</v>
      </c>
      <c r="G221" s="191">
        <f t="shared" si="39"/>
        <v>357</v>
      </c>
      <c r="H221" s="192">
        <f t="shared" si="39"/>
        <v>357</v>
      </c>
    </row>
    <row r="222" spans="1:8" s="55" customFormat="1" ht="15.75" hidden="1" x14ac:dyDescent="0.25">
      <c r="A222" s="10" t="s">
        <v>76</v>
      </c>
      <c r="B222" s="5" t="s">
        <v>71</v>
      </c>
      <c r="C222" s="5" t="s">
        <v>77</v>
      </c>
      <c r="D222" s="5"/>
      <c r="E222" s="5"/>
      <c r="F222" s="191">
        <f t="shared" si="39"/>
        <v>491.79955000000001</v>
      </c>
      <c r="G222" s="191">
        <f t="shared" si="39"/>
        <v>357</v>
      </c>
      <c r="H222" s="192">
        <f t="shared" si="39"/>
        <v>357</v>
      </c>
    </row>
    <row r="223" spans="1:8" s="55" customFormat="1" ht="25.5" hidden="1" x14ac:dyDescent="0.25">
      <c r="A223" s="10" t="s">
        <v>331</v>
      </c>
      <c r="B223" s="5" t="s">
        <v>71</v>
      </c>
      <c r="C223" s="5" t="s">
        <v>77</v>
      </c>
      <c r="D223" s="5" t="s">
        <v>30</v>
      </c>
      <c r="E223" s="5" t="s">
        <v>36</v>
      </c>
      <c r="F223" s="191">
        <f>пр.4!G34</f>
        <v>491.79955000000001</v>
      </c>
      <c r="G223" s="191">
        <f>пр.4!H34</f>
        <v>357</v>
      </c>
      <c r="H223" s="192">
        <f>пр.4!I34</f>
        <v>357</v>
      </c>
    </row>
    <row r="224" spans="1:8" s="55" customFormat="1" ht="25.5" hidden="1" x14ac:dyDescent="0.25">
      <c r="A224" s="197" t="s">
        <v>17</v>
      </c>
      <c r="B224" s="5" t="s">
        <v>18</v>
      </c>
      <c r="C224" s="5"/>
      <c r="D224" s="5"/>
      <c r="E224" s="5"/>
      <c r="F224" s="191">
        <f>F226</f>
        <v>147.52000000000001</v>
      </c>
      <c r="G224" s="191">
        <f>G226</f>
        <v>0</v>
      </c>
      <c r="H224" s="192">
        <f>H226</f>
        <v>0</v>
      </c>
    </row>
    <row r="225" spans="1:8" s="55" customFormat="1" ht="15.75" hidden="1" x14ac:dyDescent="0.25">
      <c r="A225" s="198" t="s">
        <v>123</v>
      </c>
      <c r="B225" s="5" t="s">
        <v>18</v>
      </c>
      <c r="C225" s="5" t="s">
        <v>78</v>
      </c>
      <c r="D225" s="5"/>
      <c r="E225" s="5"/>
      <c r="F225" s="191">
        <f t="shared" ref="F225:H226" si="40">F226</f>
        <v>147.52000000000001</v>
      </c>
      <c r="G225" s="191">
        <f t="shared" si="40"/>
        <v>0</v>
      </c>
      <c r="H225" s="192">
        <f t="shared" si="40"/>
        <v>0</v>
      </c>
    </row>
    <row r="226" spans="1:8" s="55" customFormat="1" ht="15.75" hidden="1" x14ac:dyDescent="0.25">
      <c r="A226" s="10" t="s">
        <v>79</v>
      </c>
      <c r="B226" s="5" t="s">
        <v>18</v>
      </c>
      <c r="C226" s="5" t="s">
        <v>4</v>
      </c>
      <c r="D226" s="5"/>
      <c r="E226" s="5"/>
      <c r="F226" s="191">
        <f t="shared" si="40"/>
        <v>147.52000000000001</v>
      </c>
      <c r="G226" s="191">
        <f t="shared" si="40"/>
        <v>0</v>
      </c>
      <c r="H226" s="192">
        <f t="shared" si="40"/>
        <v>0</v>
      </c>
    </row>
    <row r="227" spans="1:8" s="55" customFormat="1" ht="25.5" hidden="1" x14ac:dyDescent="0.25">
      <c r="A227" s="10" t="s">
        <v>331</v>
      </c>
      <c r="B227" s="5" t="s">
        <v>18</v>
      </c>
      <c r="C227" s="5" t="s">
        <v>4</v>
      </c>
      <c r="D227" s="5" t="s">
        <v>30</v>
      </c>
      <c r="E227" s="5" t="s">
        <v>36</v>
      </c>
      <c r="F227" s="191">
        <f>пр.4!G40</f>
        <v>147.52000000000001</v>
      </c>
      <c r="G227" s="191">
        <f>пр.4!H40</f>
        <v>0</v>
      </c>
      <c r="H227" s="192">
        <f>пр.4!I40</f>
        <v>0</v>
      </c>
    </row>
    <row r="228" spans="1:8" s="55" customFormat="1" ht="25.5" hidden="1" x14ac:dyDescent="0.25">
      <c r="A228" s="197" t="s">
        <v>80</v>
      </c>
      <c r="B228" s="5" t="s">
        <v>15</v>
      </c>
      <c r="C228" s="5"/>
      <c r="D228" s="5"/>
      <c r="E228" s="5"/>
      <c r="F228" s="191">
        <f>F230</f>
        <v>762.7</v>
      </c>
      <c r="G228" s="191">
        <f>G230</f>
        <v>0</v>
      </c>
      <c r="H228" s="192">
        <f>H230</f>
        <v>0</v>
      </c>
    </row>
    <row r="229" spans="1:8" s="55" customFormat="1" ht="15.75" hidden="1" x14ac:dyDescent="0.25">
      <c r="A229" s="198" t="s">
        <v>123</v>
      </c>
      <c r="B229" s="5" t="s">
        <v>15</v>
      </c>
      <c r="C229" s="5" t="s">
        <v>78</v>
      </c>
      <c r="D229" s="5"/>
      <c r="E229" s="5"/>
      <c r="F229" s="191">
        <f t="shared" ref="F229:H230" si="41">F230</f>
        <v>762.7</v>
      </c>
      <c r="G229" s="191">
        <f t="shared" si="41"/>
        <v>0</v>
      </c>
      <c r="H229" s="192">
        <f t="shared" si="41"/>
        <v>0</v>
      </c>
    </row>
    <row r="230" spans="1:8" s="55" customFormat="1" ht="15.75" hidden="1" x14ac:dyDescent="0.25">
      <c r="A230" s="10" t="s">
        <v>79</v>
      </c>
      <c r="B230" s="5" t="s">
        <v>15</v>
      </c>
      <c r="C230" s="5" t="s">
        <v>4</v>
      </c>
      <c r="D230" s="5"/>
      <c r="E230" s="5"/>
      <c r="F230" s="191">
        <f t="shared" si="41"/>
        <v>762.7</v>
      </c>
      <c r="G230" s="191">
        <f t="shared" si="41"/>
        <v>0</v>
      </c>
      <c r="H230" s="192">
        <f t="shared" si="41"/>
        <v>0</v>
      </c>
    </row>
    <row r="231" spans="1:8" s="55" customFormat="1" ht="25.5" hidden="1" x14ac:dyDescent="0.25">
      <c r="A231" s="10" t="s">
        <v>331</v>
      </c>
      <c r="B231" s="5" t="s">
        <v>15</v>
      </c>
      <c r="C231" s="5" t="s">
        <v>4</v>
      </c>
      <c r="D231" s="5" t="s">
        <v>30</v>
      </c>
      <c r="E231" s="5" t="s">
        <v>36</v>
      </c>
      <c r="F231" s="191">
        <f>пр.4!G37</f>
        <v>762.7</v>
      </c>
      <c r="G231" s="191">
        <f>пр.4!H37</f>
        <v>0</v>
      </c>
      <c r="H231" s="192">
        <f>пр.4!I37</f>
        <v>0</v>
      </c>
    </row>
    <row r="232" spans="1:8" s="55" customFormat="1" ht="25.5" hidden="1" x14ac:dyDescent="0.25">
      <c r="A232" s="197" t="s">
        <v>7</v>
      </c>
      <c r="B232" s="5" t="s">
        <v>16</v>
      </c>
      <c r="C232" s="5"/>
      <c r="D232" s="5"/>
      <c r="E232" s="5"/>
      <c r="F232" s="191">
        <f>F234</f>
        <v>1419.704</v>
      </c>
      <c r="G232" s="191">
        <f>G234</f>
        <v>0</v>
      </c>
      <c r="H232" s="192">
        <f>H234</f>
        <v>0</v>
      </c>
    </row>
    <row r="233" spans="1:8" s="55" customFormat="1" ht="15.75" hidden="1" x14ac:dyDescent="0.25">
      <c r="A233" s="198" t="s">
        <v>123</v>
      </c>
      <c r="B233" s="5" t="s">
        <v>16</v>
      </c>
      <c r="C233" s="5" t="s">
        <v>78</v>
      </c>
      <c r="D233" s="5"/>
      <c r="E233" s="5"/>
      <c r="F233" s="191">
        <f t="shared" ref="F233:H234" si="42">F234</f>
        <v>1419.704</v>
      </c>
      <c r="G233" s="191">
        <f t="shared" si="42"/>
        <v>0</v>
      </c>
      <c r="H233" s="192">
        <f t="shared" si="42"/>
        <v>0</v>
      </c>
    </row>
    <row r="234" spans="1:8" s="55" customFormat="1" ht="15.75" hidden="1" x14ac:dyDescent="0.25">
      <c r="A234" s="10" t="s">
        <v>79</v>
      </c>
      <c r="B234" s="5" t="s">
        <v>16</v>
      </c>
      <c r="C234" s="5" t="s">
        <v>4</v>
      </c>
      <c r="D234" s="5"/>
      <c r="E234" s="5"/>
      <c r="F234" s="191">
        <f t="shared" si="42"/>
        <v>1419.704</v>
      </c>
      <c r="G234" s="191">
        <f t="shared" si="42"/>
        <v>0</v>
      </c>
      <c r="H234" s="192">
        <f t="shared" si="42"/>
        <v>0</v>
      </c>
    </row>
    <row r="235" spans="1:8" s="55" customFormat="1" ht="25.5" hidden="1" x14ac:dyDescent="0.25">
      <c r="A235" s="349" t="s">
        <v>6</v>
      </c>
      <c r="B235" s="5" t="s">
        <v>16</v>
      </c>
      <c r="C235" s="5" t="s">
        <v>4</v>
      </c>
      <c r="D235" s="5" t="s">
        <v>30</v>
      </c>
      <c r="E235" s="5" t="s">
        <v>81</v>
      </c>
      <c r="F235" s="191">
        <f>пр.4!G52</f>
        <v>1419.704</v>
      </c>
      <c r="G235" s="191">
        <f>пр.4!H52</f>
        <v>0</v>
      </c>
      <c r="H235" s="192">
        <f>пр.4!I52</f>
        <v>0</v>
      </c>
    </row>
    <row r="236" spans="1:8" s="202" customFormat="1" ht="25.5" hidden="1" x14ac:dyDescent="0.2">
      <c r="A236" s="199" t="s">
        <v>420</v>
      </c>
      <c r="B236" s="79" t="s">
        <v>143</v>
      </c>
      <c r="C236" s="79"/>
      <c r="D236" s="5"/>
      <c r="E236" s="5"/>
      <c r="F236" s="200">
        <f>F237+F240</f>
        <v>2998.7000000000003</v>
      </c>
      <c r="G236" s="200">
        <f>G237+G240</f>
        <v>2998.7000000000003</v>
      </c>
      <c r="H236" s="201">
        <f>H237+H240</f>
        <v>2998.7000000000003</v>
      </c>
    </row>
    <row r="237" spans="1:8" s="202" customFormat="1" ht="25.5" hidden="1" x14ac:dyDescent="0.2">
      <c r="A237" s="203" t="s">
        <v>27</v>
      </c>
      <c r="B237" s="79" t="s">
        <v>143</v>
      </c>
      <c r="C237" s="79" t="s">
        <v>72</v>
      </c>
      <c r="D237" s="5"/>
      <c r="E237" s="5"/>
      <c r="F237" s="200">
        <f t="shared" ref="F237:H238" si="43">F238</f>
        <v>2918.6680000000001</v>
      </c>
      <c r="G237" s="200">
        <f t="shared" si="43"/>
        <v>2918.6680000000001</v>
      </c>
      <c r="H237" s="201">
        <f t="shared" si="43"/>
        <v>2918.6680000000001</v>
      </c>
    </row>
    <row r="238" spans="1:8" s="202" customFormat="1" hidden="1" x14ac:dyDescent="0.2">
      <c r="A238" s="10" t="s">
        <v>73</v>
      </c>
      <c r="B238" s="79" t="s">
        <v>143</v>
      </c>
      <c r="C238" s="79" t="s">
        <v>74</v>
      </c>
      <c r="D238" s="5"/>
      <c r="E238" s="5"/>
      <c r="F238" s="200">
        <f t="shared" si="43"/>
        <v>2918.6680000000001</v>
      </c>
      <c r="G238" s="200">
        <f t="shared" si="43"/>
        <v>2918.6680000000001</v>
      </c>
      <c r="H238" s="201">
        <f t="shared" si="43"/>
        <v>2918.6680000000001</v>
      </c>
    </row>
    <row r="239" spans="1:8" s="202" customFormat="1" hidden="1" x14ac:dyDescent="0.2">
      <c r="A239" s="350" t="s">
        <v>144</v>
      </c>
      <c r="B239" s="79" t="s">
        <v>143</v>
      </c>
      <c r="C239" s="79" t="s">
        <v>74</v>
      </c>
      <c r="D239" s="5" t="s">
        <v>40</v>
      </c>
      <c r="E239" s="5" t="s">
        <v>145</v>
      </c>
      <c r="F239" s="200">
        <f>пр.4!G118</f>
        <v>2918.6680000000001</v>
      </c>
      <c r="G239" s="200">
        <f>пр.4!H118</f>
        <v>2918.6680000000001</v>
      </c>
      <c r="H239" s="201">
        <f>пр.4!I118</f>
        <v>2918.6680000000001</v>
      </c>
    </row>
    <row r="240" spans="1:8" s="202" customFormat="1" hidden="1" x14ac:dyDescent="0.2">
      <c r="A240" s="82" t="s">
        <v>31</v>
      </c>
      <c r="B240" s="79" t="s">
        <v>143</v>
      </c>
      <c r="C240" s="79" t="s">
        <v>66</v>
      </c>
      <c r="D240" s="5"/>
      <c r="E240" s="5"/>
      <c r="F240" s="200">
        <f t="shared" ref="F240:H241" si="44">F241</f>
        <v>80.031999999999996</v>
      </c>
      <c r="G240" s="200">
        <f t="shared" si="44"/>
        <v>80.031999999999996</v>
      </c>
      <c r="H240" s="201">
        <f t="shared" si="44"/>
        <v>80.031999999999996</v>
      </c>
    </row>
    <row r="241" spans="1:8" s="202" customFormat="1" hidden="1" x14ac:dyDescent="0.2">
      <c r="A241" s="10" t="s">
        <v>67</v>
      </c>
      <c r="B241" s="79" t="s">
        <v>143</v>
      </c>
      <c r="C241" s="79" t="s">
        <v>68</v>
      </c>
      <c r="D241" s="5"/>
      <c r="E241" s="5"/>
      <c r="F241" s="200">
        <f t="shared" si="44"/>
        <v>80.031999999999996</v>
      </c>
      <c r="G241" s="200">
        <f t="shared" si="44"/>
        <v>80.031999999999996</v>
      </c>
      <c r="H241" s="201">
        <f t="shared" si="44"/>
        <v>80.031999999999996</v>
      </c>
    </row>
    <row r="242" spans="1:8" s="202" customFormat="1" hidden="1" x14ac:dyDescent="0.2">
      <c r="A242" s="350" t="s">
        <v>144</v>
      </c>
      <c r="B242" s="79" t="s">
        <v>143</v>
      </c>
      <c r="C242" s="79" t="s">
        <v>68</v>
      </c>
      <c r="D242" s="5" t="s">
        <v>40</v>
      </c>
      <c r="E242" s="5" t="s">
        <v>145</v>
      </c>
      <c r="F242" s="200">
        <f>пр.4!G120</f>
        <v>80.031999999999996</v>
      </c>
      <c r="G242" s="200">
        <f>пр.4!H120</f>
        <v>80.031999999999996</v>
      </c>
      <c r="H242" s="201">
        <f>пр.4!I120</f>
        <v>80.031999999999996</v>
      </c>
    </row>
    <row r="243" spans="1:8" s="202" customFormat="1" ht="25.5" hidden="1" x14ac:dyDescent="0.2">
      <c r="A243" s="197" t="s">
        <v>146</v>
      </c>
      <c r="B243" s="5" t="s">
        <v>147</v>
      </c>
      <c r="C243" s="5"/>
      <c r="D243" s="5"/>
      <c r="E243" s="5"/>
      <c r="F243" s="191">
        <f>F245</f>
        <v>10.559999999999999</v>
      </c>
      <c r="G243" s="191">
        <f>G245</f>
        <v>10.56</v>
      </c>
      <c r="H243" s="192">
        <f>H245</f>
        <v>10.56</v>
      </c>
    </row>
    <row r="244" spans="1:8" s="202" customFormat="1" hidden="1" x14ac:dyDescent="0.2">
      <c r="A244" s="82" t="s">
        <v>31</v>
      </c>
      <c r="B244" s="5" t="s">
        <v>147</v>
      </c>
      <c r="C244" s="79" t="s">
        <v>66</v>
      </c>
      <c r="D244" s="5"/>
      <c r="E244" s="5"/>
      <c r="F244" s="191">
        <f t="shared" ref="F244:H245" si="45">F245</f>
        <v>10.559999999999999</v>
      </c>
      <c r="G244" s="191">
        <f t="shared" si="45"/>
        <v>10.56</v>
      </c>
      <c r="H244" s="192">
        <f t="shared" si="45"/>
        <v>10.56</v>
      </c>
    </row>
    <row r="245" spans="1:8" s="202" customFormat="1" hidden="1" x14ac:dyDescent="0.2">
      <c r="A245" s="10" t="s">
        <v>67</v>
      </c>
      <c r="B245" s="5" t="s">
        <v>147</v>
      </c>
      <c r="C245" s="79" t="s">
        <v>68</v>
      </c>
      <c r="D245" s="5"/>
      <c r="E245" s="5"/>
      <c r="F245" s="191">
        <f t="shared" si="45"/>
        <v>10.559999999999999</v>
      </c>
      <c r="G245" s="191">
        <f t="shared" si="45"/>
        <v>10.56</v>
      </c>
      <c r="H245" s="192">
        <f t="shared" si="45"/>
        <v>10.56</v>
      </c>
    </row>
    <row r="246" spans="1:8" s="202" customFormat="1" hidden="1" x14ac:dyDescent="0.2">
      <c r="A246" s="350" t="s">
        <v>144</v>
      </c>
      <c r="B246" s="5" t="s">
        <v>147</v>
      </c>
      <c r="C246" s="79" t="s">
        <v>68</v>
      </c>
      <c r="D246" s="5" t="s">
        <v>40</v>
      </c>
      <c r="E246" s="5" t="s">
        <v>145</v>
      </c>
      <c r="F246" s="191">
        <f>пр.4!G123</f>
        <v>10.559999999999999</v>
      </c>
      <c r="G246" s="191">
        <f>пр.4!H123</f>
        <v>10.56</v>
      </c>
      <c r="H246" s="192">
        <f>пр.4!I123</f>
        <v>10.56</v>
      </c>
    </row>
    <row r="247" spans="1:8" s="55" customFormat="1" ht="40.5" hidden="1" x14ac:dyDescent="0.25">
      <c r="A247" s="193" t="s">
        <v>432</v>
      </c>
      <c r="B247" s="194" t="s">
        <v>82</v>
      </c>
      <c r="C247" s="194"/>
      <c r="D247" s="194"/>
      <c r="E247" s="194"/>
      <c r="F247" s="204">
        <f t="shared" ref="F247:H248" si="46">SUM(F248)</f>
        <v>2771.5478699999999</v>
      </c>
      <c r="G247" s="204">
        <f t="shared" si="46"/>
        <v>2771.5478699999999</v>
      </c>
      <c r="H247" s="205">
        <f t="shared" si="46"/>
        <v>2771.5478699999999</v>
      </c>
    </row>
    <row r="248" spans="1:8" s="55" customFormat="1" ht="15.75" hidden="1" x14ac:dyDescent="0.25">
      <c r="A248" s="89" t="s">
        <v>13</v>
      </c>
      <c r="B248" s="112" t="s">
        <v>83</v>
      </c>
      <c r="C248" s="112"/>
      <c r="D248" s="112"/>
      <c r="E248" s="112"/>
      <c r="F248" s="206">
        <f t="shared" si="46"/>
        <v>2771.5478699999999</v>
      </c>
      <c r="G248" s="206">
        <f t="shared" si="46"/>
        <v>2771.5478699999999</v>
      </c>
      <c r="H248" s="207">
        <f t="shared" si="46"/>
        <v>2771.5478699999999</v>
      </c>
    </row>
    <row r="249" spans="1:8" s="55" customFormat="1" ht="25.5" hidden="1" x14ac:dyDescent="0.25">
      <c r="A249" s="9" t="s">
        <v>84</v>
      </c>
      <c r="B249" s="5" t="s">
        <v>85</v>
      </c>
      <c r="C249" s="5"/>
      <c r="D249" s="5"/>
      <c r="E249" s="5"/>
      <c r="F249" s="200">
        <f t="shared" ref="F249:H251" si="47">F250</f>
        <v>2771.5478699999999</v>
      </c>
      <c r="G249" s="200">
        <f t="shared" si="47"/>
        <v>2771.5478699999999</v>
      </c>
      <c r="H249" s="201">
        <f t="shared" si="47"/>
        <v>2771.5478699999999</v>
      </c>
    </row>
    <row r="250" spans="1:8" s="55" customFormat="1" ht="25.5" hidden="1" x14ac:dyDescent="0.25">
      <c r="A250" s="203" t="s">
        <v>27</v>
      </c>
      <c r="B250" s="5" t="s">
        <v>85</v>
      </c>
      <c r="C250" s="5" t="s">
        <v>72</v>
      </c>
      <c r="D250" s="5"/>
      <c r="E250" s="5"/>
      <c r="F250" s="200">
        <f t="shared" si="47"/>
        <v>2771.5478699999999</v>
      </c>
      <c r="G250" s="200">
        <f t="shared" si="47"/>
        <v>2771.5478699999999</v>
      </c>
      <c r="H250" s="201">
        <f t="shared" si="47"/>
        <v>2771.5478699999999</v>
      </c>
    </row>
    <row r="251" spans="1:8" s="55" customFormat="1" ht="15.75" hidden="1" x14ac:dyDescent="0.25">
      <c r="A251" s="10" t="s">
        <v>73</v>
      </c>
      <c r="B251" s="5" t="s">
        <v>85</v>
      </c>
      <c r="C251" s="5" t="s">
        <v>74</v>
      </c>
      <c r="D251" s="5"/>
      <c r="E251" s="5"/>
      <c r="F251" s="200">
        <f t="shared" si="47"/>
        <v>2771.5478699999999</v>
      </c>
      <c r="G251" s="200">
        <f t="shared" si="47"/>
        <v>2771.5478699999999</v>
      </c>
      <c r="H251" s="201">
        <f t="shared" si="47"/>
        <v>2771.5478699999999</v>
      </c>
    </row>
    <row r="252" spans="1:8" s="55" customFormat="1" ht="25.5" hidden="1" x14ac:dyDescent="0.25">
      <c r="A252" s="351" t="s">
        <v>331</v>
      </c>
      <c r="B252" s="130" t="s">
        <v>85</v>
      </c>
      <c r="C252" s="130" t="s">
        <v>74</v>
      </c>
      <c r="D252" s="130" t="s">
        <v>30</v>
      </c>
      <c r="E252" s="130" t="s">
        <v>36</v>
      </c>
      <c r="F252" s="208">
        <f>пр.4!G45</f>
        <v>2771.5478699999999</v>
      </c>
      <c r="G252" s="208">
        <f>пр.4!H45</f>
        <v>2771.5478699999999</v>
      </c>
      <c r="H252" s="209">
        <f>пр.4!I45</f>
        <v>2771.5478699999999</v>
      </c>
    </row>
    <row r="253" spans="1:8" s="55" customFormat="1" ht="16.5" hidden="1" thickBot="1" x14ac:dyDescent="0.3">
      <c r="A253" s="153" t="s">
        <v>86</v>
      </c>
      <c r="B253" s="172" t="s">
        <v>87</v>
      </c>
      <c r="C253" s="172"/>
      <c r="D253" s="210"/>
      <c r="E253" s="210"/>
      <c r="F253" s="211">
        <f t="shared" ref="F253:H254" si="48">SUM(F254)</f>
        <v>7178.4685099999997</v>
      </c>
      <c r="G253" s="211">
        <f t="shared" si="48"/>
        <v>5383.8494999999994</v>
      </c>
      <c r="H253" s="212">
        <f t="shared" si="48"/>
        <v>5832.3705</v>
      </c>
    </row>
    <row r="254" spans="1:8" s="55" customFormat="1" ht="15.75" hidden="1" x14ac:dyDescent="0.25">
      <c r="A254" s="213" t="s">
        <v>13</v>
      </c>
      <c r="B254" s="214" t="s">
        <v>88</v>
      </c>
      <c r="C254" s="214"/>
      <c r="D254" s="214"/>
      <c r="E254" s="214"/>
      <c r="F254" s="215">
        <f>SUM(F255)</f>
        <v>7178.4685099999997</v>
      </c>
      <c r="G254" s="215">
        <f t="shared" si="48"/>
        <v>5383.8494999999994</v>
      </c>
      <c r="H254" s="216">
        <f t="shared" si="48"/>
        <v>5832.3705</v>
      </c>
    </row>
    <row r="255" spans="1:8" s="55" customFormat="1" ht="15.75" hidden="1" x14ac:dyDescent="0.25">
      <c r="A255" s="89" t="s">
        <v>13</v>
      </c>
      <c r="B255" s="112" t="s">
        <v>89</v>
      </c>
      <c r="C255" s="112"/>
      <c r="D255" s="112"/>
      <c r="E255" s="112"/>
      <c r="F255" s="189">
        <f>SUM(F256)+F270</f>
        <v>7178.4685099999997</v>
      </c>
      <c r="G255" s="189">
        <f>SUM(G256)+G270</f>
        <v>5383.8494999999994</v>
      </c>
      <c r="H255" s="190">
        <f>SUM(H256)+H270</f>
        <v>5832.3705</v>
      </c>
    </row>
    <row r="256" spans="1:8" s="55" customFormat="1" ht="15.75" hidden="1" x14ac:dyDescent="0.25">
      <c r="A256" s="217" t="s">
        <v>90</v>
      </c>
      <c r="B256" s="5" t="s">
        <v>91</v>
      </c>
      <c r="C256" s="5"/>
      <c r="D256" s="5"/>
      <c r="E256" s="5"/>
      <c r="F256" s="191">
        <f>F257+F260+F265</f>
        <v>6678.4685099999997</v>
      </c>
      <c r="G256" s="191">
        <f>G257+G260+G265</f>
        <v>4883.8494999999994</v>
      </c>
      <c r="H256" s="192">
        <f>H257+H260+H265</f>
        <v>5332.3705</v>
      </c>
    </row>
    <row r="257" spans="1:8" s="55" customFormat="1" ht="15.75" hidden="1" x14ac:dyDescent="0.25">
      <c r="A257" s="75" t="s">
        <v>31</v>
      </c>
      <c r="B257" s="5" t="s">
        <v>91</v>
      </c>
      <c r="C257" s="5" t="s">
        <v>66</v>
      </c>
      <c r="D257" s="5"/>
      <c r="E257" s="5"/>
      <c r="F257" s="191">
        <f t="shared" ref="F257:H258" si="49">F258</f>
        <v>4235.9920099999999</v>
      </c>
      <c r="G257" s="191">
        <f t="shared" si="49"/>
        <v>4437.8999999999996</v>
      </c>
      <c r="H257" s="192">
        <f t="shared" si="49"/>
        <v>4851.6899999999996</v>
      </c>
    </row>
    <row r="258" spans="1:8" s="55" customFormat="1" ht="15.75" hidden="1" x14ac:dyDescent="0.25">
      <c r="A258" s="10" t="s">
        <v>67</v>
      </c>
      <c r="B258" s="5" t="s">
        <v>91</v>
      </c>
      <c r="C258" s="5" t="s">
        <v>68</v>
      </c>
      <c r="D258" s="5"/>
      <c r="E258" s="5"/>
      <c r="F258" s="191">
        <f t="shared" si="49"/>
        <v>4235.9920099999999</v>
      </c>
      <c r="G258" s="191">
        <f t="shared" si="49"/>
        <v>4437.8999999999996</v>
      </c>
      <c r="H258" s="192">
        <f t="shared" si="49"/>
        <v>4851.6899999999996</v>
      </c>
    </row>
    <row r="259" spans="1:8" s="55" customFormat="1" ht="15.75" hidden="1" x14ac:dyDescent="0.25">
      <c r="A259" s="352" t="s">
        <v>92</v>
      </c>
      <c r="B259" s="7" t="s">
        <v>91</v>
      </c>
      <c r="C259" s="7" t="s">
        <v>68</v>
      </c>
      <c r="D259" s="7" t="s">
        <v>30</v>
      </c>
      <c r="E259" s="7" t="s">
        <v>93</v>
      </c>
      <c r="F259" s="191">
        <f>пр.4!G66</f>
        <v>4235.9920099999999</v>
      </c>
      <c r="G259" s="191">
        <f>пр.4!H66</f>
        <v>4437.8999999999996</v>
      </c>
      <c r="H259" s="192">
        <f>пр.4!I66</f>
        <v>4851.6899999999996</v>
      </c>
    </row>
    <row r="260" spans="1:8" s="55" customFormat="1" ht="15.75" hidden="1" x14ac:dyDescent="0.25">
      <c r="A260" s="9" t="s">
        <v>39</v>
      </c>
      <c r="B260" s="7" t="s">
        <v>91</v>
      </c>
      <c r="C260" s="7" t="s">
        <v>115</v>
      </c>
      <c r="D260" s="7"/>
      <c r="E260" s="7"/>
      <c r="F260" s="191">
        <f>F261+F263</f>
        <v>342.47649999999999</v>
      </c>
      <c r="G260" s="191">
        <f>G261+G263</f>
        <v>369.56950000000001</v>
      </c>
      <c r="H260" s="192">
        <f>H261+H263</f>
        <v>396.66250000000002</v>
      </c>
    </row>
    <row r="261" spans="1:8" s="55" customFormat="1" ht="15.75" hidden="1" x14ac:dyDescent="0.25">
      <c r="A261" s="10" t="s">
        <v>135</v>
      </c>
      <c r="B261" s="7" t="s">
        <v>91</v>
      </c>
      <c r="C261" s="7" t="s">
        <v>116</v>
      </c>
      <c r="D261" s="7"/>
      <c r="E261" s="7"/>
      <c r="F261" s="191">
        <f>F262</f>
        <v>284.47649999999999</v>
      </c>
      <c r="G261" s="191">
        <f>G262</f>
        <v>311.56950000000001</v>
      </c>
      <c r="H261" s="192">
        <f>H262</f>
        <v>338.66250000000002</v>
      </c>
    </row>
    <row r="262" spans="1:8" s="55" customFormat="1" ht="15.75" hidden="1" x14ac:dyDescent="0.25">
      <c r="A262" s="352" t="s">
        <v>92</v>
      </c>
      <c r="B262" s="7" t="s">
        <v>91</v>
      </c>
      <c r="C262" s="7" t="s">
        <v>116</v>
      </c>
      <c r="D262" s="7" t="s">
        <v>30</v>
      </c>
      <c r="E262" s="7" t="s">
        <v>93</v>
      </c>
      <c r="F262" s="191">
        <f>пр.4!G68</f>
        <v>284.47649999999999</v>
      </c>
      <c r="G262" s="191">
        <f>пр.4!H68</f>
        <v>311.56950000000001</v>
      </c>
      <c r="H262" s="192">
        <f>пр.4!I68</f>
        <v>338.66250000000002</v>
      </c>
    </row>
    <row r="263" spans="1:8" s="55" customFormat="1" ht="15.75" hidden="1" x14ac:dyDescent="0.25">
      <c r="A263" s="10" t="s">
        <v>469</v>
      </c>
      <c r="B263" s="7" t="s">
        <v>91</v>
      </c>
      <c r="C263" s="7" t="s">
        <v>468</v>
      </c>
      <c r="D263" s="7"/>
      <c r="E263" s="7"/>
      <c r="F263" s="191">
        <f>F264</f>
        <v>58</v>
      </c>
      <c r="G263" s="191">
        <f>G264</f>
        <v>58</v>
      </c>
      <c r="H263" s="192">
        <f>H264</f>
        <v>58</v>
      </c>
    </row>
    <row r="264" spans="1:8" s="55" customFormat="1" ht="15.75" hidden="1" x14ac:dyDescent="0.25">
      <c r="A264" s="352" t="s">
        <v>92</v>
      </c>
      <c r="B264" s="7" t="s">
        <v>91</v>
      </c>
      <c r="C264" s="7" t="s">
        <v>468</v>
      </c>
      <c r="D264" s="7" t="s">
        <v>30</v>
      </c>
      <c r="E264" s="7" t="s">
        <v>93</v>
      </c>
      <c r="F264" s="191">
        <f>пр.4!G69</f>
        <v>58</v>
      </c>
      <c r="G264" s="191">
        <f>пр.4!H69</f>
        <v>58</v>
      </c>
      <c r="H264" s="192">
        <f>пр.4!I69</f>
        <v>58</v>
      </c>
    </row>
    <row r="265" spans="1:8" s="55" customFormat="1" ht="15.75" hidden="1" x14ac:dyDescent="0.25">
      <c r="A265" s="75" t="s">
        <v>33</v>
      </c>
      <c r="B265" s="7" t="s">
        <v>91</v>
      </c>
      <c r="C265" s="7" t="s">
        <v>75</v>
      </c>
      <c r="D265" s="7"/>
      <c r="E265" s="7"/>
      <c r="F265" s="191">
        <f>F266+F268</f>
        <v>2100</v>
      </c>
      <c r="G265" s="191">
        <f>G266+G268</f>
        <v>76.38</v>
      </c>
      <c r="H265" s="192">
        <f>H266+H268</f>
        <v>84.018000000000001</v>
      </c>
    </row>
    <row r="266" spans="1:8" s="55" customFormat="1" ht="15.75" hidden="1" x14ac:dyDescent="0.25">
      <c r="A266" s="10" t="s">
        <v>152</v>
      </c>
      <c r="B266" s="7" t="s">
        <v>91</v>
      </c>
      <c r="C266" s="7" t="s">
        <v>151</v>
      </c>
      <c r="D266" s="7"/>
      <c r="E266" s="7"/>
      <c r="F266" s="191">
        <f>F267</f>
        <v>2000</v>
      </c>
      <c r="G266" s="191">
        <f>G267</f>
        <v>0</v>
      </c>
      <c r="H266" s="192">
        <f>H267</f>
        <v>0</v>
      </c>
    </row>
    <row r="267" spans="1:8" s="55" customFormat="1" ht="15.75" hidden="1" x14ac:dyDescent="0.25">
      <c r="A267" s="352" t="s">
        <v>92</v>
      </c>
      <c r="B267" s="7" t="s">
        <v>91</v>
      </c>
      <c r="C267" s="7" t="s">
        <v>151</v>
      </c>
      <c r="D267" s="7" t="s">
        <v>30</v>
      </c>
      <c r="E267" s="7" t="s">
        <v>93</v>
      </c>
      <c r="F267" s="191">
        <f>пр.4!G71</f>
        <v>2000</v>
      </c>
      <c r="G267" s="191">
        <f>пр.4!H71</f>
        <v>0</v>
      </c>
      <c r="H267" s="192">
        <f>пр.4!I71</f>
        <v>0</v>
      </c>
    </row>
    <row r="268" spans="1:8" s="55" customFormat="1" ht="15.75" hidden="1" x14ac:dyDescent="0.25">
      <c r="A268" s="10" t="s">
        <v>76</v>
      </c>
      <c r="B268" s="7" t="s">
        <v>91</v>
      </c>
      <c r="C268" s="7" t="s">
        <v>77</v>
      </c>
      <c r="D268" s="7"/>
      <c r="E268" s="7"/>
      <c r="F268" s="191">
        <f>F269</f>
        <v>100</v>
      </c>
      <c r="G268" s="191">
        <f>G269</f>
        <v>76.38</v>
      </c>
      <c r="H268" s="192">
        <f>H269</f>
        <v>84.018000000000001</v>
      </c>
    </row>
    <row r="269" spans="1:8" s="55" customFormat="1" ht="15.75" hidden="1" x14ac:dyDescent="0.25">
      <c r="A269" s="352" t="s">
        <v>92</v>
      </c>
      <c r="B269" s="7" t="s">
        <v>91</v>
      </c>
      <c r="C269" s="7" t="s">
        <v>77</v>
      </c>
      <c r="D269" s="7" t="s">
        <v>30</v>
      </c>
      <c r="E269" s="7" t="s">
        <v>93</v>
      </c>
      <c r="F269" s="191">
        <f>пр.4!G72</f>
        <v>100</v>
      </c>
      <c r="G269" s="191">
        <f>пр.4!H72</f>
        <v>76.38</v>
      </c>
      <c r="H269" s="192">
        <f>пр.4!I72</f>
        <v>84.018000000000001</v>
      </c>
    </row>
    <row r="270" spans="1:8" s="55" customFormat="1" ht="15.75" hidden="1" x14ac:dyDescent="0.25">
      <c r="A270" s="217" t="s">
        <v>325</v>
      </c>
      <c r="B270" s="7" t="s">
        <v>326</v>
      </c>
      <c r="C270" s="7"/>
      <c r="D270" s="7"/>
      <c r="E270" s="7"/>
      <c r="F270" s="191">
        <f t="shared" ref="F270:H272" si="50">F271</f>
        <v>500</v>
      </c>
      <c r="G270" s="191">
        <f t="shared" si="50"/>
        <v>500</v>
      </c>
      <c r="H270" s="192">
        <f t="shared" si="50"/>
        <v>500</v>
      </c>
    </row>
    <row r="271" spans="1:8" s="55" customFormat="1" ht="15.75" hidden="1" x14ac:dyDescent="0.25">
      <c r="A271" s="75" t="s">
        <v>31</v>
      </c>
      <c r="B271" s="7" t="s">
        <v>326</v>
      </c>
      <c r="C271" s="7" t="s">
        <v>66</v>
      </c>
      <c r="D271" s="7"/>
      <c r="E271" s="7"/>
      <c r="F271" s="191">
        <f t="shared" si="50"/>
        <v>500</v>
      </c>
      <c r="G271" s="191">
        <f t="shared" si="50"/>
        <v>500</v>
      </c>
      <c r="H271" s="192">
        <f t="shared" si="50"/>
        <v>500</v>
      </c>
    </row>
    <row r="272" spans="1:8" s="55" customFormat="1" ht="15.75" hidden="1" x14ac:dyDescent="0.25">
      <c r="A272" s="10" t="s">
        <v>67</v>
      </c>
      <c r="B272" s="7" t="s">
        <v>326</v>
      </c>
      <c r="C272" s="7" t="s">
        <v>68</v>
      </c>
      <c r="D272" s="7"/>
      <c r="E272" s="7"/>
      <c r="F272" s="191">
        <f t="shared" si="50"/>
        <v>500</v>
      </c>
      <c r="G272" s="191">
        <f t="shared" si="50"/>
        <v>500</v>
      </c>
      <c r="H272" s="192">
        <f t="shared" si="50"/>
        <v>500</v>
      </c>
    </row>
    <row r="273" spans="1:8" s="55" customFormat="1" ht="15.75" hidden="1" x14ac:dyDescent="0.25">
      <c r="A273" s="351" t="s">
        <v>92</v>
      </c>
      <c r="B273" s="218" t="s">
        <v>326</v>
      </c>
      <c r="C273" s="218" t="s">
        <v>68</v>
      </c>
      <c r="D273" s="218" t="s">
        <v>30</v>
      </c>
      <c r="E273" s="218" t="s">
        <v>93</v>
      </c>
      <c r="F273" s="219">
        <f>пр.4!G75</f>
        <v>500</v>
      </c>
      <c r="G273" s="219">
        <f>пр.4!H75</f>
        <v>500</v>
      </c>
      <c r="H273" s="220">
        <f>пр.4!I75</f>
        <v>500</v>
      </c>
    </row>
    <row r="274" spans="1:8" s="55" customFormat="1" ht="26.25" hidden="1" thickBot="1" x14ac:dyDescent="0.3">
      <c r="A274" s="153" t="s">
        <v>401</v>
      </c>
      <c r="B274" s="172" t="s">
        <v>94</v>
      </c>
      <c r="C274" s="172"/>
      <c r="D274" s="172"/>
      <c r="E274" s="172"/>
      <c r="F274" s="211">
        <f t="shared" ref="F274:H275" si="51">F275</f>
        <v>17668.620620000002</v>
      </c>
      <c r="G274" s="211">
        <f t="shared" si="51"/>
        <v>15187.503362000001</v>
      </c>
      <c r="H274" s="212">
        <f t="shared" si="51"/>
        <v>16095.607444000001</v>
      </c>
    </row>
    <row r="275" spans="1:8" s="55" customFormat="1" ht="15.75" hidden="1" x14ac:dyDescent="0.25">
      <c r="A275" s="213" t="s">
        <v>13</v>
      </c>
      <c r="B275" s="214" t="s">
        <v>95</v>
      </c>
      <c r="C275" s="214"/>
      <c r="D275" s="214"/>
      <c r="E275" s="214"/>
      <c r="F275" s="215">
        <f t="shared" si="51"/>
        <v>17668.620620000002</v>
      </c>
      <c r="G275" s="215">
        <f t="shared" si="51"/>
        <v>15187.503362000001</v>
      </c>
      <c r="H275" s="216">
        <f t="shared" si="51"/>
        <v>16095.607444000001</v>
      </c>
    </row>
    <row r="276" spans="1:8" s="55" customFormat="1" ht="15.75" hidden="1" x14ac:dyDescent="0.25">
      <c r="A276" s="89" t="s">
        <v>13</v>
      </c>
      <c r="B276" s="112" t="s">
        <v>96</v>
      </c>
      <c r="C276" s="112"/>
      <c r="D276" s="112"/>
      <c r="E276" s="112"/>
      <c r="F276" s="189">
        <f>F277+F289+F281+F285+F300+F304+F308+F312+F316+F296</f>
        <v>17668.620620000002</v>
      </c>
      <c r="G276" s="189">
        <f>G277+G289+G281+G285+G300+G304+G308+G312+G316+G296</f>
        <v>15187.503362000001</v>
      </c>
      <c r="H276" s="190">
        <f>H277+H289+H281+H285+H300+H304+H308+H312+H316+H296</f>
        <v>16095.607444000001</v>
      </c>
    </row>
    <row r="277" spans="1:8" s="55" customFormat="1" ht="15.75" hidden="1" x14ac:dyDescent="0.25">
      <c r="A277" s="9" t="s">
        <v>425</v>
      </c>
      <c r="B277" s="5" t="s">
        <v>97</v>
      </c>
      <c r="C277" s="5"/>
      <c r="D277" s="5"/>
      <c r="E277" s="5"/>
      <c r="F277" s="191">
        <f t="shared" ref="F277:H279" si="52">F278</f>
        <v>1000</v>
      </c>
      <c r="G277" s="191">
        <f t="shared" si="52"/>
        <v>1000</v>
      </c>
      <c r="H277" s="192">
        <f t="shared" si="52"/>
        <v>1000</v>
      </c>
    </row>
    <row r="278" spans="1:8" s="55" customFormat="1" ht="15.75" hidden="1" x14ac:dyDescent="0.25">
      <c r="A278" s="75" t="s">
        <v>33</v>
      </c>
      <c r="B278" s="5" t="s">
        <v>97</v>
      </c>
      <c r="C278" s="5" t="s">
        <v>75</v>
      </c>
      <c r="D278" s="5"/>
      <c r="E278" s="5"/>
      <c r="F278" s="191">
        <f t="shared" si="52"/>
        <v>1000</v>
      </c>
      <c r="G278" s="191">
        <f t="shared" si="52"/>
        <v>1000</v>
      </c>
      <c r="H278" s="192">
        <f t="shared" si="52"/>
        <v>1000</v>
      </c>
    </row>
    <row r="279" spans="1:8" s="55" customFormat="1" ht="15.75" hidden="1" x14ac:dyDescent="0.25">
      <c r="A279" s="10" t="s">
        <v>98</v>
      </c>
      <c r="B279" s="5" t="s">
        <v>97</v>
      </c>
      <c r="C279" s="5" t="s">
        <v>99</v>
      </c>
      <c r="D279" s="5"/>
      <c r="E279" s="5"/>
      <c r="F279" s="191">
        <f t="shared" si="52"/>
        <v>1000</v>
      </c>
      <c r="G279" s="191">
        <f t="shared" si="52"/>
        <v>1000</v>
      </c>
      <c r="H279" s="192">
        <f t="shared" si="52"/>
        <v>1000</v>
      </c>
    </row>
    <row r="280" spans="1:8" s="55" customFormat="1" ht="15.75" hidden="1" x14ac:dyDescent="0.25">
      <c r="A280" s="10" t="s">
        <v>100</v>
      </c>
      <c r="B280" s="5" t="s">
        <v>97</v>
      </c>
      <c r="C280" s="5" t="s">
        <v>99</v>
      </c>
      <c r="D280" s="5" t="s">
        <v>30</v>
      </c>
      <c r="E280" s="5" t="s">
        <v>29</v>
      </c>
      <c r="F280" s="191">
        <f>пр.4!G59</f>
        <v>1000</v>
      </c>
      <c r="G280" s="191">
        <f>пр.4!H59</f>
        <v>1000</v>
      </c>
      <c r="H280" s="192">
        <f>пр.4!I59</f>
        <v>1000</v>
      </c>
    </row>
    <row r="281" spans="1:8" s="55" customFormat="1" ht="15.75" hidden="1" x14ac:dyDescent="0.25">
      <c r="A281" s="9" t="s">
        <v>103</v>
      </c>
      <c r="B281" s="5" t="s">
        <v>104</v>
      </c>
      <c r="C281" s="5"/>
      <c r="D281" s="5"/>
      <c r="E281" s="5"/>
      <c r="F281" s="191">
        <f>F283</f>
        <v>2000</v>
      </c>
      <c r="G281" s="191">
        <f>G283</f>
        <v>550</v>
      </c>
      <c r="H281" s="192">
        <f>H283</f>
        <v>500</v>
      </c>
    </row>
    <row r="282" spans="1:8" s="55" customFormat="1" ht="15.75" hidden="1" x14ac:dyDescent="0.25">
      <c r="A282" s="75" t="s">
        <v>31</v>
      </c>
      <c r="B282" s="5" t="s">
        <v>104</v>
      </c>
      <c r="C282" s="5" t="s">
        <v>66</v>
      </c>
      <c r="D282" s="5"/>
      <c r="E282" s="5"/>
      <c r="F282" s="191">
        <f t="shared" ref="F282:H283" si="53">F283</f>
        <v>2000</v>
      </c>
      <c r="G282" s="191">
        <f t="shared" si="53"/>
        <v>550</v>
      </c>
      <c r="H282" s="192">
        <f t="shared" si="53"/>
        <v>500</v>
      </c>
    </row>
    <row r="283" spans="1:8" s="55" customFormat="1" ht="15.75" hidden="1" x14ac:dyDescent="0.25">
      <c r="A283" s="10" t="s">
        <v>67</v>
      </c>
      <c r="B283" s="5" t="s">
        <v>104</v>
      </c>
      <c r="C283" s="5" t="s">
        <v>68</v>
      </c>
      <c r="D283" s="5"/>
      <c r="E283" s="5"/>
      <c r="F283" s="191">
        <f t="shared" si="53"/>
        <v>2000</v>
      </c>
      <c r="G283" s="191">
        <f t="shared" si="53"/>
        <v>550</v>
      </c>
      <c r="H283" s="192">
        <f t="shared" si="53"/>
        <v>500</v>
      </c>
    </row>
    <row r="284" spans="1:8" s="55" customFormat="1" ht="15.75" hidden="1" x14ac:dyDescent="0.25">
      <c r="A284" s="10" t="s">
        <v>35</v>
      </c>
      <c r="B284" s="5" t="s">
        <v>104</v>
      </c>
      <c r="C284" s="5" t="s">
        <v>68</v>
      </c>
      <c r="D284" s="5" t="s">
        <v>36</v>
      </c>
      <c r="E284" s="5" t="s">
        <v>37</v>
      </c>
      <c r="F284" s="191">
        <f>пр.4!G163</f>
        <v>2000</v>
      </c>
      <c r="G284" s="191">
        <f>пр.4!H163</f>
        <v>550</v>
      </c>
      <c r="H284" s="192">
        <f>пр.4!I163</f>
        <v>500</v>
      </c>
    </row>
    <row r="285" spans="1:8" s="55" customFormat="1" ht="15.75" hidden="1" x14ac:dyDescent="0.25">
      <c r="A285" s="9" t="s">
        <v>105</v>
      </c>
      <c r="B285" s="5" t="s">
        <v>106</v>
      </c>
      <c r="C285" s="5"/>
      <c r="D285" s="5"/>
      <c r="E285" s="5"/>
      <c r="F285" s="191">
        <f t="shared" ref="F285:H287" si="54">F286</f>
        <v>200</v>
      </c>
      <c r="G285" s="191">
        <f t="shared" si="54"/>
        <v>0</v>
      </c>
      <c r="H285" s="192">
        <f t="shared" si="54"/>
        <v>0</v>
      </c>
    </row>
    <row r="286" spans="1:8" s="55" customFormat="1" ht="15.75" hidden="1" x14ac:dyDescent="0.25">
      <c r="A286" s="75" t="s">
        <v>31</v>
      </c>
      <c r="B286" s="5" t="s">
        <v>106</v>
      </c>
      <c r="C286" s="5" t="s">
        <v>66</v>
      </c>
      <c r="D286" s="5"/>
      <c r="E286" s="5"/>
      <c r="F286" s="191">
        <f t="shared" si="54"/>
        <v>200</v>
      </c>
      <c r="G286" s="191">
        <f t="shared" si="54"/>
        <v>0</v>
      </c>
      <c r="H286" s="192">
        <f t="shared" si="54"/>
        <v>0</v>
      </c>
    </row>
    <row r="287" spans="1:8" s="55" customFormat="1" ht="15.75" hidden="1" x14ac:dyDescent="0.25">
      <c r="A287" s="10" t="s">
        <v>67</v>
      </c>
      <c r="B287" s="5" t="s">
        <v>106</v>
      </c>
      <c r="C287" s="5" t="s">
        <v>68</v>
      </c>
      <c r="D287" s="5"/>
      <c r="E287" s="5"/>
      <c r="F287" s="191">
        <f t="shared" si="54"/>
        <v>200</v>
      </c>
      <c r="G287" s="191">
        <f t="shared" si="54"/>
        <v>0</v>
      </c>
      <c r="H287" s="192">
        <f t="shared" si="54"/>
        <v>0</v>
      </c>
    </row>
    <row r="288" spans="1:8" s="55" customFormat="1" ht="15.75" hidden="1" x14ac:dyDescent="0.25">
      <c r="A288" s="10" t="s">
        <v>35</v>
      </c>
      <c r="B288" s="5" t="s">
        <v>106</v>
      </c>
      <c r="C288" s="5" t="s">
        <v>68</v>
      </c>
      <c r="D288" s="5" t="s">
        <v>36</v>
      </c>
      <c r="E288" s="5" t="s">
        <v>37</v>
      </c>
      <c r="F288" s="191">
        <f>пр.4!G166</f>
        <v>200</v>
      </c>
      <c r="G288" s="191">
        <f>пр.4!H166</f>
        <v>0</v>
      </c>
      <c r="H288" s="192">
        <f>пр.4!I166</f>
        <v>0</v>
      </c>
    </row>
    <row r="289" spans="1:8" s="55" customFormat="1" ht="25.5" hidden="1" x14ac:dyDescent="0.25">
      <c r="A289" s="9" t="s">
        <v>415</v>
      </c>
      <c r="B289" s="5" t="s">
        <v>101</v>
      </c>
      <c r="C289" s="5"/>
      <c r="D289" s="5"/>
      <c r="E289" s="5"/>
      <c r="F289" s="191">
        <f>F290+F293</f>
        <v>2263.8000000000002</v>
      </c>
      <c r="G289" s="191">
        <f>G290+G293</f>
        <v>2517</v>
      </c>
      <c r="H289" s="192">
        <f>H290+H293</f>
        <v>3185.6</v>
      </c>
    </row>
    <row r="290" spans="1:8" s="55" customFormat="1" ht="25.5" hidden="1" x14ac:dyDescent="0.25">
      <c r="A290" s="203" t="s">
        <v>27</v>
      </c>
      <c r="B290" s="5" t="s">
        <v>101</v>
      </c>
      <c r="C290" s="5" t="s">
        <v>72</v>
      </c>
      <c r="D290" s="5"/>
      <c r="E290" s="5"/>
      <c r="F290" s="191">
        <f t="shared" ref="F290:H291" si="55">F291</f>
        <v>2188.5940000000001</v>
      </c>
      <c r="G290" s="191">
        <f t="shared" si="55"/>
        <v>2432.5300000000002</v>
      </c>
      <c r="H290" s="192">
        <f t="shared" si="55"/>
        <v>3092.6</v>
      </c>
    </row>
    <row r="291" spans="1:8" s="55" customFormat="1" ht="15.75" hidden="1" x14ac:dyDescent="0.25">
      <c r="A291" s="10" t="s">
        <v>73</v>
      </c>
      <c r="B291" s="5" t="s">
        <v>101</v>
      </c>
      <c r="C291" s="5" t="s">
        <v>74</v>
      </c>
      <c r="D291" s="5"/>
      <c r="E291" s="5"/>
      <c r="F291" s="191">
        <f t="shared" si="55"/>
        <v>2188.5940000000001</v>
      </c>
      <c r="G291" s="191">
        <f t="shared" si="55"/>
        <v>2432.5300000000002</v>
      </c>
      <c r="H291" s="192">
        <f t="shared" si="55"/>
        <v>3092.6</v>
      </c>
    </row>
    <row r="292" spans="1:8" s="55" customFormat="1" ht="15.75" hidden="1" x14ac:dyDescent="0.25">
      <c r="A292" s="10" t="s">
        <v>102</v>
      </c>
      <c r="B292" s="5" t="s">
        <v>101</v>
      </c>
      <c r="C292" s="5" t="s">
        <v>74</v>
      </c>
      <c r="D292" s="5" t="s">
        <v>58</v>
      </c>
      <c r="E292" s="5" t="s">
        <v>40</v>
      </c>
      <c r="F292" s="221">
        <f>пр.4!G83</f>
        <v>2188.5940000000001</v>
      </c>
      <c r="G292" s="221">
        <f>пр.4!H83</f>
        <v>2432.5300000000002</v>
      </c>
      <c r="H292" s="222">
        <f>пр.4!I83</f>
        <v>3092.6</v>
      </c>
    </row>
    <row r="293" spans="1:8" s="55" customFormat="1" ht="15.75" hidden="1" x14ac:dyDescent="0.25">
      <c r="A293" s="75" t="s">
        <v>31</v>
      </c>
      <c r="B293" s="5" t="s">
        <v>101</v>
      </c>
      <c r="C293" s="5" t="s">
        <v>66</v>
      </c>
      <c r="D293" s="5"/>
      <c r="E293" s="5"/>
      <c r="F293" s="191">
        <f t="shared" ref="F293:H294" si="56">F294</f>
        <v>75.206000000000003</v>
      </c>
      <c r="G293" s="191">
        <f t="shared" si="56"/>
        <v>84.47</v>
      </c>
      <c r="H293" s="192">
        <f t="shared" si="56"/>
        <v>93</v>
      </c>
    </row>
    <row r="294" spans="1:8" s="55" customFormat="1" ht="15.75" hidden="1" x14ac:dyDescent="0.25">
      <c r="A294" s="10" t="s">
        <v>67</v>
      </c>
      <c r="B294" s="5" t="s">
        <v>101</v>
      </c>
      <c r="C294" s="5" t="s">
        <v>68</v>
      </c>
      <c r="D294" s="5"/>
      <c r="E294" s="5"/>
      <c r="F294" s="191">
        <f t="shared" si="56"/>
        <v>75.206000000000003</v>
      </c>
      <c r="G294" s="191">
        <f t="shared" si="56"/>
        <v>84.47</v>
      </c>
      <c r="H294" s="192">
        <f t="shared" si="56"/>
        <v>93</v>
      </c>
    </row>
    <row r="295" spans="1:8" s="55" customFormat="1" ht="15.75" hidden="1" x14ac:dyDescent="0.25">
      <c r="A295" s="10" t="s">
        <v>102</v>
      </c>
      <c r="B295" s="5" t="s">
        <v>101</v>
      </c>
      <c r="C295" s="5" t="s">
        <v>68</v>
      </c>
      <c r="D295" s="5" t="s">
        <v>58</v>
      </c>
      <c r="E295" s="5" t="s">
        <v>40</v>
      </c>
      <c r="F295" s="191">
        <f>пр.4!G85</f>
        <v>75.206000000000003</v>
      </c>
      <c r="G295" s="191">
        <f>пр.4!H85</f>
        <v>84.47</v>
      </c>
      <c r="H295" s="192">
        <f>пр.4!I85</f>
        <v>93</v>
      </c>
    </row>
    <row r="296" spans="1:8" s="55" customFormat="1" ht="38.25" hidden="1" x14ac:dyDescent="0.25">
      <c r="A296" s="197" t="s">
        <v>421</v>
      </c>
      <c r="B296" s="5" t="s">
        <v>359</v>
      </c>
      <c r="C296" s="5"/>
      <c r="D296" s="5"/>
      <c r="E296" s="5"/>
      <c r="F296" s="191">
        <f>F297</f>
        <v>497.589</v>
      </c>
      <c r="G296" s="191">
        <f t="shared" ref="G296:H298" si="57">G297</f>
        <v>0</v>
      </c>
      <c r="H296" s="192">
        <f t="shared" si="57"/>
        <v>0</v>
      </c>
    </row>
    <row r="297" spans="1:8" s="55" customFormat="1" ht="15.75" hidden="1" x14ac:dyDescent="0.25">
      <c r="A297" s="9" t="s">
        <v>31</v>
      </c>
      <c r="B297" s="5" t="s">
        <v>359</v>
      </c>
      <c r="C297" s="5" t="s">
        <v>66</v>
      </c>
      <c r="D297" s="5"/>
      <c r="E297" s="5"/>
      <c r="F297" s="191">
        <f>F298</f>
        <v>497.589</v>
      </c>
      <c r="G297" s="191">
        <f t="shared" si="57"/>
        <v>0</v>
      </c>
      <c r="H297" s="192">
        <f t="shared" si="57"/>
        <v>0</v>
      </c>
    </row>
    <row r="298" spans="1:8" s="55" customFormat="1" ht="15.75" hidden="1" x14ac:dyDescent="0.25">
      <c r="A298" s="10" t="s">
        <v>67</v>
      </c>
      <c r="B298" s="5" t="s">
        <v>359</v>
      </c>
      <c r="C298" s="5" t="s">
        <v>68</v>
      </c>
      <c r="D298" s="5"/>
      <c r="E298" s="5"/>
      <c r="F298" s="191">
        <f>F299</f>
        <v>497.589</v>
      </c>
      <c r="G298" s="191">
        <f t="shared" si="57"/>
        <v>0</v>
      </c>
      <c r="H298" s="192">
        <f t="shared" si="57"/>
        <v>0</v>
      </c>
    </row>
    <row r="299" spans="1:8" s="55" customFormat="1" ht="15.75" hidden="1" x14ac:dyDescent="0.25">
      <c r="A299" s="10" t="s">
        <v>144</v>
      </c>
      <c r="B299" s="5" t="s">
        <v>359</v>
      </c>
      <c r="C299" s="5" t="s">
        <v>68</v>
      </c>
      <c r="D299" s="5" t="s">
        <v>40</v>
      </c>
      <c r="E299" s="5" t="s">
        <v>145</v>
      </c>
      <c r="F299" s="191">
        <f>пр.4!G129</f>
        <v>497.589</v>
      </c>
      <c r="G299" s="191">
        <f>пр.4!H129</f>
        <v>0</v>
      </c>
      <c r="H299" s="192">
        <f>пр.4!I129</f>
        <v>0</v>
      </c>
    </row>
    <row r="300" spans="1:8" s="55" customFormat="1" ht="38.25" hidden="1" x14ac:dyDescent="0.25">
      <c r="A300" s="9" t="s">
        <v>154</v>
      </c>
      <c r="B300" s="5" t="s">
        <v>213</v>
      </c>
      <c r="C300" s="5"/>
      <c r="D300" s="5"/>
      <c r="E300" s="5"/>
      <c r="F300" s="191">
        <f t="shared" ref="F300:H302" si="58">F301</f>
        <v>469.86419999999998</v>
      </c>
      <c r="G300" s="191">
        <f t="shared" si="58"/>
        <v>0</v>
      </c>
      <c r="H300" s="192">
        <f t="shared" si="58"/>
        <v>0</v>
      </c>
    </row>
    <row r="301" spans="1:8" s="55" customFormat="1" ht="15.75" hidden="1" x14ac:dyDescent="0.25">
      <c r="A301" s="9" t="s">
        <v>123</v>
      </c>
      <c r="B301" s="5" t="s">
        <v>213</v>
      </c>
      <c r="C301" s="5" t="s">
        <v>78</v>
      </c>
      <c r="D301" s="5"/>
      <c r="E301" s="5"/>
      <c r="F301" s="191">
        <f t="shared" si="58"/>
        <v>469.86419999999998</v>
      </c>
      <c r="G301" s="191">
        <f t="shared" si="58"/>
        <v>0</v>
      </c>
      <c r="H301" s="192">
        <f t="shared" si="58"/>
        <v>0</v>
      </c>
    </row>
    <row r="302" spans="1:8" s="55" customFormat="1" ht="15.75" hidden="1" x14ac:dyDescent="0.25">
      <c r="A302" s="10" t="s">
        <v>79</v>
      </c>
      <c r="B302" s="5" t="s">
        <v>213</v>
      </c>
      <c r="C302" s="5" t="s">
        <v>4</v>
      </c>
      <c r="D302" s="5"/>
      <c r="E302" s="5"/>
      <c r="F302" s="191">
        <f t="shared" si="58"/>
        <v>469.86419999999998</v>
      </c>
      <c r="G302" s="191">
        <f t="shared" si="58"/>
        <v>0</v>
      </c>
      <c r="H302" s="192">
        <f t="shared" si="58"/>
        <v>0</v>
      </c>
    </row>
    <row r="303" spans="1:8" s="55" customFormat="1" ht="15.75" hidden="1" x14ac:dyDescent="0.25">
      <c r="A303" s="10" t="s">
        <v>35</v>
      </c>
      <c r="B303" s="5" t="s">
        <v>213</v>
      </c>
      <c r="C303" s="5" t="s">
        <v>4</v>
      </c>
      <c r="D303" s="5" t="s">
        <v>36</v>
      </c>
      <c r="E303" s="5" t="s">
        <v>37</v>
      </c>
      <c r="F303" s="191">
        <f>пр.4!G172</f>
        <v>469.86419999999998</v>
      </c>
      <c r="G303" s="191">
        <f>пр.4!H172</f>
        <v>0</v>
      </c>
      <c r="H303" s="192">
        <f>пр.4!I172</f>
        <v>0</v>
      </c>
    </row>
    <row r="304" spans="1:8" s="55" customFormat="1" ht="15.75" hidden="1" x14ac:dyDescent="0.25">
      <c r="A304" s="9" t="s">
        <v>107</v>
      </c>
      <c r="B304" s="5" t="s">
        <v>108</v>
      </c>
      <c r="C304" s="5"/>
      <c r="D304" s="5"/>
      <c r="E304" s="5"/>
      <c r="F304" s="191">
        <f>F306</f>
        <v>600</v>
      </c>
      <c r="G304" s="191">
        <f>G306</f>
        <v>400</v>
      </c>
      <c r="H304" s="192">
        <f>H306</f>
        <v>400</v>
      </c>
    </row>
    <row r="305" spans="1:8" s="55" customFormat="1" ht="15.75" hidden="1" x14ac:dyDescent="0.25">
      <c r="A305" s="75" t="s">
        <v>31</v>
      </c>
      <c r="B305" s="5" t="s">
        <v>108</v>
      </c>
      <c r="C305" s="5" t="s">
        <v>66</v>
      </c>
      <c r="D305" s="5"/>
      <c r="E305" s="5"/>
      <c r="F305" s="191">
        <f t="shared" ref="F305:H306" si="59">F306</f>
        <v>600</v>
      </c>
      <c r="G305" s="191">
        <f t="shared" si="59"/>
        <v>400</v>
      </c>
      <c r="H305" s="192">
        <f t="shared" si="59"/>
        <v>400</v>
      </c>
    </row>
    <row r="306" spans="1:8" s="55" customFormat="1" ht="15.75" hidden="1" x14ac:dyDescent="0.25">
      <c r="A306" s="10" t="s">
        <v>67</v>
      </c>
      <c r="B306" s="5" t="s">
        <v>108</v>
      </c>
      <c r="C306" s="5" t="s">
        <v>68</v>
      </c>
      <c r="D306" s="5"/>
      <c r="E306" s="5"/>
      <c r="F306" s="191">
        <f t="shared" si="59"/>
        <v>600</v>
      </c>
      <c r="G306" s="191">
        <f t="shared" si="59"/>
        <v>400</v>
      </c>
      <c r="H306" s="192">
        <f t="shared" si="59"/>
        <v>400</v>
      </c>
    </row>
    <row r="307" spans="1:8" s="55" customFormat="1" ht="15.75" hidden="1" x14ac:dyDescent="0.25">
      <c r="A307" s="128" t="s">
        <v>35</v>
      </c>
      <c r="B307" s="7" t="s">
        <v>108</v>
      </c>
      <c r="C307" s="7" t="s">
        <v>68</v>
      </c>
      <c r="D307" s="7" t="s">
        <v>36</v>
      </c>
      <c r="E307" s="7" t="s">
        <v>37</v>
      </c>
      <c r="F307" s="191">
        <f>пр.4!G169</f>
        <v>600</v>
      </c>
      <c r="G307" s="191">
        <f>пр.4!H169</f>
        <v>400</v>
      </c>
      <c r="H307" s="192">
        <f>пр.4!I169</f>
        <v>400</v>
      </c>
    </row>
    <row r="308" spans="1:8" s="55" customFormat="1" ht="15.75" hidden="1" x14ac:dyDescent="0.25">
      <c r="A308" s="9" t="s">
        <v>130</v>
      </c>
      <c r="B308" s="5" t="s">
        <v>109</v>
      </c>
      <c r="C308" s="5"/>
      <c r="D308" s="5"/>
      <c r="E308" s="5"/>
      <c r="F308" s="191">
        <f>F310</f>
        <v>7185.4432800000004</v>
      </c>
      <c r="G308" s="191">
        <f>G310</f>
        <v>7365.0793619999995</v>
      </c>
      <c r="H308" s="192">
        <f>H310</f>
        <v>7544.7154440000004</v>
      </c>
    </row>
    <row r="309" spans="1:8" s="55" customFormat="1" ht="15.75" hidden="1" x14ac:dyDescent="0.25">
      <c r="A309" s="75" t="s">
        <v>31</v>
      </c>
      <c r="B309" s="5" t="s">
        <v>109</v>
      </c>
      <c r="C309" s="5" t="s">
        <v>66</v>
      </c>
      <c r="D309" s="5"/>
      <c r="E309" s="5"/>
      <c r="F309" s="191">
        <f t="shared" ref="F309:H310" si="60">F310</f>
        <v>7185.4432800000004</v>
      </c>
      <c r="G309" s="191">
        <f t="shared" si="60"/>
        <v>7365.0793619999995</v>
      </c>
      <c r="H309" s="192">
        <f t="shared" si="60"/>
        <v>7544.7154440000004</v>
      </c>
    </row>
    <row r="310" spans="1:8" s="55" customFormat="1" ht="15.75" hidden="1" x14ac:dyDescent="0.25">
      <c r="A310" s="10" t="s">
        <v>67</v>
      </c>
      <c r="B310" s="5" t="s">
        <v>109</v>
      </c>
      <c r="C310" s="5" t="s">
        <v>68</v>
      </c>
      <c r="D310" s="5"/>
      <c r="E310" s="5"/>
      <c r="F310" s="191">
        <f t="shared" si="60"/>
        <v>7185.4432800000004</v>
      </c>
      <c r="G310" s="191">
        <f t="shared" si="60"/>
        <v>7365.0793619999995</v>
      </c>
      <c r="H310" s="192">
        <f t="shared" si="60"/>
        <v>7544.7154440000004</v>
      </c>
    </row>
    <row r="311" spans="1:8" s="55" customFormat="1" ht="15.75" hidden="1" x14ac:dyDescent="0.25">
      <c r="A311" s="10" t="s">
        <v>110</v>
      </c>
      <c r="B311" s="5" t="s">
        <v>109</v>
      </c>
      <c r="C311" s="5" t="s">
        <v>68</v>
      </c>
      <c r="D311" s="5" t="s">
        <v>57</v>
      </c>
      <c r="E311" s="5" t="s">
        <v>30</v>
      </c>
      <c r="F311" s="191">
        <f>пр.4!G183</f>
        <v>7185.4432800000004</v>
      </c>
      <c r="G311" s="191">
        <f>пр.4!H183</f>
        <v>7365.0793619999995</v>
      </c>
      <c r="H311" s="192">
        <f>пр.4!I183</f>
        <v>7544.7154440000004</v>
      </c>
    </row>
    <row r="312" spans="1:8" s="55" customFormat="1" ht="15.75" hidden="1" x14ac:dyDescent="0.25">
      <c r="A312" s="9" t="s">
        <v>111</v>
      </c>
      <c r="B312" s="5" t="s">
        <v>112</v>
      </c>
      <c r="C312" s="5"/>
      <c r="D312" s="5"/>
      <c r="E312" s="5"/>
      <c r="F312" s="191">
        <f>F314</f>
        <v>913.04813999999999</v>
      </c>
      <c r="G312" s="191">
        <f>G314</f>
        <v>1098.68</v>
      </c>
      <c r="H312" s="192">
        <f>H314</f>
        <v>1208.548</v>
      </c>
    </row>
    <row r="313" spans="1:8" s="55" customFormat="1" ht="15.75" hidden="1" x14ac:dyDescent="0.25">
      <c r="A313" s="75" t="s">
        <v>31</v>
      </c>
      <c r="B313" s="5" t="s">
        <v>112</v>
      </c>
      <c r="C313" s="5" t="s">
        <v>66</v>
      </c>
      <c r="D313" s="5"/>
      <c r="E313" s="5"/>
      <c r="F313" s="191">
        <f t="shared" ref="F313:H314" si="61">F314</f>
        <v>913.04813999999999</v>
      </c>
      <c r="G313" s="191">
        <f t="shared" si="61"/>
        <v>1098.68</v>
      </c>
      <c r="H313" s="192">
        <f t="shared" si="61"/>
        <v>1208.548</v>
      </c>
    </row>
    <row r="314" spans="1:8" s="55" customFormat="1" ht="15.75" hidden="1" x14ac:dyDescent="0.25">
      <c r="A314" s="10" t="s">
        <v>67</v>
      </c>
      <c r="B314" s="5" t="s">
        <v>112</v>
      </c>
      <c r="C314" s="5" t="s">
        <v>68</v>
      </c>
      <c r="D314" s="5"/>
      <c r="E314" s="5"/>
      <c r="F314" s="191">
        <f t="shared" si="61"/>
        <v>913.04813999999999</v>
      </c>
      <c r="G314" s="191">
        <f t="shared" si="61"/>
        <v>1098.68</v>
      </c>
      <c r="H314" s="192">
        <f t="shared" si="61"/>
        <v>1208.548</v>
      </c>
    </row>
    <row r="315" spans="1:8" s="55" customFormat="1" ht="15.75" hidden="1" x14ac:dyDescent="0.25">
      <c r="A315" s="10" t="s">
        <v>110</v>
      </c>
      <c r="B315" s="5" t="s">
        <v>112</v>
      </c>
      <c r="C315" s="5" t="s">
        <v>68</v>
      </c>
      <c r="D315" s="5" t="s">
        <v>57</v>
      </c>
      <c r="E315" s="5" t="s">
        <v>30</v>
      </c>
      <c r="F315" s="191">
        <f>пр.4!G180</f>
        <v>913.04813999999999</v>
      </c>
      <c r="G315" s="191">
        <f>пр.4!H180</f>
        <v>1098.68</v>
      </c>
      <c r="H315" s="192">
        <f>пр.4!I180</f>
        <v>1208.548</v>
      </c>
    </row>
    <row r="316" spans="1:8" s="55" customFormat="1" ht="15.75" hidden="1" x14ac:dyDescent="0.25">
      <c r="A316" s="124" t="s">
        <v>113</v>
      </c>
      <c r="B316" s="7" t="s">
        <v>114</v>
      </c>
      <c r="C316" s="7"/>
      <c r="D316" s="7"/>
      <c r="E316" s="7"/>
      <c r="F316" s="221">
        <f>F318</f>
        <v>2538.8760000000002</v>
      </c>
      <c r="G316" s="221">
        <f>G318</f>
        <v>2256.7440000000001</v>
      </c>
      <c r="H316" s="222">
        <f>H318</f>
        <v>2256.7440000000001</v>
      </c>
    </row>
    <row r="317" spans="1:8" s="55" customFormat="1" ht="15.75" hidden="1" x14ac:dyDescent="0.25">
      <c r="A317" s="124" t="s">
        <v>39</v>
      </c>
      <c r="B317" s="7" t="s">
        <v>114</v>
      </c>
      <c r="C317" s="7" t="s">
        <v>115</v>
      </c>
      <c r="D317" s="7"/>
      <c r="E317" s="7"/>
      <c r="F317" s="221">
        <f t="shared" ref="F317:H318" si="62">F318</f>
        <v>2538.8760000000002</v>
      </c>
      <c r="G317" s="221">
        <f t="shared" si="62"/>
        <v>2256.7440000000001</v>
      </c>
      <c r="H317" s="222">
        <f t="shared" si="62"/>
        <v>2256.7440000000001</v>
      </c>
    </row>
    <row r="318" spans="1:8" s="55" customFormat="1" ht="15.75" hidden="1" x14ac:dyDescent="0.25">
      <c r="A318" s="224" t="s">
        <v>135</v>
      </c>
      <c r="B318" s="7" t="s">
        <v>114</v>
      </c>
      <c r="C318" s="7" t="s">
        <v>116</v>
      </c>
      <c r="D318" s="7"/>
      <c r="E318" s="7"/>
      <c r="F318" s="221">
        <f t="shared" si="62"/>
        <v>2538.8760000000002</v>
      </c>
      <c r="G318" s="221">
        <f t="shared" si="62"/>
        <v>2256.7440000000001</v>
      </c>
      <c r="H318" s="222">
        <f t="shared" si="62"/>
        <v>2256.7440000000001</v>
      </c>
    </row>
    <row r="319" spans="1:8" s="55" customFormat="1" ht="16.5" hidden="1" thickBot="1" x14ac:dyDescent="0.3">
      <c r="A319" s="353" t="s">
        <v>117</v>
      </c>
      <c r="B319" s="225" t="s">
        <v>114</v>
      </c>
      <c r="C319" s="225" t="s">
        <v>116</v>
      </c>
      <c r="D319" s="225" t="s">
        <v>118</v>
      </c>
      <c r="E319" s="225" t="s">
        <v>30</v>
      </c>
      <c r="F319" s="226">
        <f>пр.4!G285</f>
        <v>2538.8760000000002</v>
      </c>
      <c r="G319" s="226">
        <f>пр.4!H285</f>
        <v>2256.7440000000001</v>
      </c>
      <c r="H319" s="227">
        <f>пр.4!I285</f>
        <v>2256.7440000000001</v>
      </c>
    </row>
    <row r="320" spans="1:8" s="515" customFormat="1" x14ac:dyDescent="0.2">
      <c r="A320" s="529" t="s">
        <v>348</v>
      </c>
      <c r="B320" s="52"/>
      <c r="C320" s="52"/>
      <c r="D320" s="52"/>
      <c r="E320" s="52"/>
      <c r="F320" s="530" t="e">
        <f>F195+F188+F181+F168+F161+F154+F138+F131+F101+F84+F53+F46+F23</f>
        <v>#REF!</v>
      </c>
      <c r="G320" s="530" t="e">
        <f>G195+G188+G181+G168+G161+G154+G138+G131+G101+G84+G53+G46+G23</f>
        <v>#REF!</v>
      </c>
      <c r="H320" s="530" t="e">
        <f>H195+H188+H181+H168+H161+H154+H138+H131+H101+H84+H53+H46+H23</f>
        <v>#REF!</v>
      </c>
    </row>
  </sheetData>
  <autoFilter xmlns:x14="http://schemas.microsoft.com/office/spreadsheetml/2009/9/main" ref="A20:H319" xr:uid="{E9B44CED-E033-41B0-8AFD-28550037C12F}">
    <filterColumn colId="0">
      <filters>
        <mc:AlternateContent xmlns:mc="http://schemas.openxmlformats.org/markup-compatibility/2006">
          <mc:Choice Requires="x14">
            <x14:filter val="Муниципальная программа &quot;Безопасность 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Благоустройство территории  Никольского городского поселения Тосненского муниципального района Ленинградской области&quot;"/>
            <x14:filter val="Муниципальная программа &quot;Борьба с борщевиком Сосновского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Газификация территории  Никольского городского поселения Тосненского муниципального района Ленинградской области&quot;"/>
            <x14:filter val="Муниципальная программа &quot;О содействии участию населения в осуществлении местного самоуправления в Никольском городском поселении Тосненского муниципального района Ленинградской области в рамках областного закона Ленинградской области от 16.02.2024 № 10-оз «О содействии участию населения в осуществлении местного самоуправления в Ленинградской области»"/>
            <x14:filter val="Муниципальная программа &quot;Обеспечение жильем молодых семей, признанных нуждающимися в улучшении жилищных условий в Никольском городском поселении Тосненского муниципального  района Ленинградской области&quot;"/>
            <x14:filter val="Муниципальная программа &quot;Развитие автомобильных дорог  Никольского городского поселения Тосненского муниципального района Ленинградской области&quot;"/>
            <x14:filter val="Муниципальная программа &quot;Развитие культуры Никольского городского поселения Тосненского муниципального района Ленинградской области&quot;"/>
            <x14:filter val="Муниципальная программа &quot;Развитие физической культуры и спорта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Создание мест (площадок) накопления твердых коммунальных отходов и реконструкция существующих мест (площадок) накопления твердых коммунальных отходов на территории Никольского городского поселения Тосненского муниципального района Ленинградской области &quot;"/>
            <x14:filter val="Муниципальная программа &quot;Устойчивое развитие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Формирование комфортной городской среды на территории Никольского  городского поселения Тосненского муниципального района Ленинградской области&quot;"/>
            <x14:filter val="Муниципальная программа &quot;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&quot;"/>
          </mc:Choice>
          <mc:Fallback>
            <filter val="Муниципальная программа &quot;Безопасность 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Благоустройство территории  Никольского городского поселения Тосненского муниципального района Ленинградской области&quot;"/>
            <filter val="Муниципальная программа &quot;Борьба с борщевиком Сосновского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Газификация территории  Никольского городского поселения Тосненского муниципального района Ленинградской области&quot;"/>
            <filter val="Муниципальная программа &quot;Обеспечение жильем молодых семей, признанных нуждающимися в улучшении жилищных условий в Никольском городском поселении Тосненского муниципального  района Ленинградской области&quot;"/>
            <filter val="Муниципальная программа &quot;Развитие автомобильных дорог  Никольского городского поселения Тосненского муниципального района Ленинградской области&quot;"/>
            <filter val="Муниципальная программа &quot;Развитие культуры Никольского городского поселения Тосненского муниципального района Ленинградской области&quot;"/>
            <filter val="Муниципальная программа &quot;Развитие физической культуры и спорта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Устойчивое развитие территории Никольского городского поселения Тосненского муниципального района Ленинградской области&quot;"/>
            <filter val="Муниципальная программа &quot;Формирование комфортной городской среды на территории Никольского  городского поселения Тосненского муниципального района Ленинградской области&quot;"/>
            <filter val="Муниципальная программа &quot;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&quot;"/>
          </mc:Fallback>
        </mc:AlternateContent>
      </filters>
    </filterColumn>
  </autoFilter>
  <mergeCells count="8">
    <mergeCell ref="A15:H15"/>
    <mergeCell ref="A16:H16"/>
    <mergeCell ref="A17:H17"/>
    <mergeCell ref="A19:A20"/>
    <mergeCell ref="B19:B20"/>
    <mergeCell ref="C19:C20"/>
    <mergeCell ref="D19:D20"/>
    <mergeCell ref="E19:E20"/>
  </mergeCells>
  <printOptions horizontalCentered="1"/>
  <pageMargins left="0" right="0" top="1.1811023622047245" bottom="0.39370078740157483" header="0" footer="0"/>
  <pageSetup paperSize="9" fitToHeight="1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02CA-9054-409E-A4F2-E1946DBC8730}">
  <sheetPr>
    <pageSetUpPr fitToPage="1"/>
  </sheetPr>
  <dimension ref="A1:J83"/>
  <sheetViews>
    <sheetView topLeftCell="B2" workbookViewId="0">
      <selection activeCell="E71" sqref="A14:E71"/>
    </sheetView>
  </sheetViews>
  <sheetFormatPr defaultRowHeight="12.75" outlineLevelRow="1" x14ac:dyDescent="0.2"/>
  <cols>
    <col min="1" max="1" width="26.140625" style="52" hidden="1" customWidth="1"/>
    <col min="2" max="2" width="87.7109375" style="52" customWidth="1"/>
    <col min="3" max="5" width="21" style="52" customWidth="1"/>
    <col min="6" max="7" width="9.140625" style="52"/>
    <col min="8" max="10" width="12.140625" style="52" customWidth="1"/>
    <col min="11" max="16384" width="9.140625" style="52"/>
  </cols>
  <sheetData>
    <row r="1" spans="1:5" s="14" customFormat="1" ht="15" x14ac:dyDescent="0.25">
      <c r="D1" s="15" t="s">
        <v>435</v>
      </c>
      <c r="E1" s="16"/>
    </row>
    <row r="2" spans="1:5" s="17" customFormat="1" ht="15" x14ac:dyDescent="0.25">
      <c r="D2" s="18" t="s">
        <v>285</v>
      </c>
      <c r="E2" s="19"/>
    </row>
    <row r="3" spans="1:5" s="17" customFormat="1" ht="15" x14ac:dyDescent="0.25">
      <c r="D3" s="18" t="s">
        <v>9</v>
      </c>
      <c r="E3" s="19"/>
    </row>
    <row r="4" spans="1:5" s="17" customFormat="1" ht="15" x14ac:dyDescent="0.25">
      <c r="D4" s="18" t="s">
        <v>390</v>
      </c>
      <c r="E4" s="19"/>
    </row>
    <row r="5" spans="1:5" s="17" customFormat="1" ht="15" x14ac:dyDescent="0.25">
      <c r="D5" s="18" t="s">
        <v>3</v>
      </c>
      <c r="E5" s="19"/>
    </row>
    <row r="6" spans="1:5" s="22" customFormat="1" ht="15" x14ac:dyDescent="0.25">
      <c r="A6" s="20"/>
      <c r="B6" s="21"/>
      <c r="C6" s="21"/>
      <c r="D6" s="18" t="str">
        <f>пр.1!D13</f>
        <v>от 25.12.2025 №80</v>
      </c>
      <c r="E6" s="19"/>
    </row>
    <row r="7" spans="1:5" s="17" customFormat="1" ht="15" x14ac:dyDescent="0.25">
      <c r="D7" s="18"/>
      <c r="E7" s="19"/>
    </row>
    <row r="8" spans="1:5" s="17" customFormat="1" ht="15" hidden="1" x14ac:dyDescent="0.25">
      <c r="D8" s="18" t="s">
        <v>435</v>
      </c>
      <c r="E8" s="19"/>
    </row>
    <row r="9" spans="1:5" s="17" customFormat="1" ht="15" hidden="1" x14ac:dyDescent="0.25">
      <c r="D9" s="18" t="s">
        <v>285</v>
      </c>
      <c r="E9" s="19"/>
    </row>
    <row r="10" spans="1:5" s="17" customFormat="1" ht="15" hidden="1" x14ac:dyDescent="0.25">
      <c r="D10" s="18" t="s">
        <v>9</v>
      </c>
      <c r="E10" s="19"/>
    </row>
    <row r="11" spans="1:5" s="17" customFormat="1" ht="15" hidden="1" x14ac:dyDescent="0.25">
      <c r="D11" s="18" t="s">
        <v>390</v>
      </c>
      <c r="E11" s="19"/>
    </row>
    <row r="12" spans="1:5" s="17" customFormat="1" ht="15" hidden="1" x14ac:dyDescent="0.25">
      <c r="D12" s="18" t="s">
        <v>3</v>
      </c>
      <c r="E12" s="19"/>
    </row>
    <row r="13" spans="1:5" s="22" customFormat="1" ht="15" hidden="1" x14ac:dyDescent="0.25">
      <c r="A13" s="20"/>
      <c r="B13" s="21"/>
      <c r="C13" s="21"/>
      <c r="D13" s="18" t="str">
        <f>пр.1!D20</f>
        <v>от 24.12.2024 №25</v>
      </c>
      <c r="E13" s="19"/>
    </row>
    <row r="14" spans="1:5" s="23" customFormat="1" ht="15.75" x14ac:dyDescent="0.25">
      <c r="A14" s="751" t="s">
        <v>155</v>
      </c>
      <c r="B14" s="751"/>
      <c r="C14" s="751"/>
      <c r="D14" s="751"/>
      <c r="E14" s="751"/>
    </row>
    <row r="15" spans="1:5" s="23" customFormat="1" ht="15.75" x14ac:dyDescent="0.25">
      <c r="A15" s="751" t="s">
        <v>156</v>
      </c>
      <c r="B15" s="751"/>
      <c r="C15" s="751"/>
      <c r="D15" s="751"/>
      <c r="E15" s="751"/>
    </row>
    <row r="16" spans="1:5" s="23" customFormat="1" ht="15.75" x14ac:dyDescent="0.25">
      <c r="A16" s="751" t="s">
        <v>369</v>
      </c>
      <c r="B16" s="751"/>
      <c r="C16" s="751"/>
      <c r="D16" s="751"/>
      <c r="E16" s="751"/>
    </row>
    <row r="17" spans="1:10" s="23" customFormat="1" ht="15.75" x14ac:dyDescent="0.25">
      <c r="A17" s="751" t="s">
        <v>472</v>
      </c>
      <c r="B17" s="751"/>
      <c r="C17" s="751"/>
      <c r="D17" s="751"/>
      <c r="E17" s="751"/>
    </row>
    <row r="18" spans="1:10" s="23" customFormat="1" x14ac:dyDescent="0.2">
      <c r="B18" s="24"/>
      <c r="C18" s="25"/>
    </row>
    <row r="19" spans="1:10" s="27" customFormat="1" ht="27.2" customHeight="1" x14ac:dyDescent="0.25">
      <c r="A19" s="752" t="s">
        <v>157</v>
      </c>
      <c r="B19" s="752" t="s">
        <v>158</v>
      </c>
      <c r="C19" s="752" t="s">
        <v>22</v>
      </c>
      <c r="D19" s="752"/>
      <c r="E19" s="752"/>
    </row>
    <row r="20" spans="1:10" s="27" customFormat="1" ht="21.4" customHeight="1" x14ac:dyDescent="0.25">
      <c r="A20" s="752"/>
      <c r="B20" s="752"/>
      <c r="C20" s="28" t="s">
        <v>317</v>
      </c>
      <c r="D20" s="28" t="s">
        <v>343</v>
      </c>
      <c r="E20" s="28" t="s">
        <v>473</v>
      </c>
    </row>
    <row r="21" spans="1:10" s="23" customFormat="1" ht="15.75" x14ac:dyDescent="0.25">
      <c r="A21" s="29" t="s">
        <v>159</v>
      </c>
      <c r="B21" s="610" t="s">
        <v>160</v>
      </c>
      <c r="C21" s="611">
        <f>C22+C24+C26+C29+C34+C37</f>
        <v>283266.33392999996</v>
      </c>
      <c r="D21" s="611">
        <f>D22+D24+D26+D29+D34+D37</f>
        <v>201993.47699999996</v>
      </c>
      <c r="E21" s="611">
        <f>E22+E24+E26+E29+E34+E37</f>
        <v>210094.81599999996</v>
      </c>
    </row>
    <row r="22" spans="1:10" s="23" customFormat="1" ht="15.75" x14ac:dyDescent="0.25">
      <c r="A22" s="29" t="s">
        <v>161</v>
      </c>
      <c r="B22" s="32" t="s">
        <v>162</v>
      </c>
      <c r="C22" s="33">
        <f>C23</f>
        <v>102646.791</v>
      </c>
      <c r="D22" s="33">
        <f>D23</f>
        <v>111577.06299999999</v>
      </c>
      <c r="E22" s="33">
        <f>E23</f>
        <v>120056.91099999999</v>
      </c>
      <c r="H22" s="554"/>
      <c r="I22" s="554"/>
      <c r="J22" s="554"/>
    </row>
    <row r="23" spans="1:10" s="23" customFormat="1" ht="15.75" hidden="1" x14ac:dyDescent="0.2">
      <c r="A23" s="26" t="s">
        <v>163</v>
      </c>
      <c r="B23" s="460" t="s">
        <v>164</v>
      </c>
      <c r="C23" s="2">
        <v>102646.791</v>
      </c>
      <c r="D23" s="2">
        <v>111577.06299999999</v>
      </c>
      <c r="E23" s="2">
        <v>120056.91099999999</v>
      </c>
      <c r="H23" s="554"/>
      <c r="I23" s="554"/>
      <c r="J23" s="554"/>
    </row>
    <row r="24" spans="1:10" s="23" customFormat="1" ht="31.5" x14ac:dyDescent="0.2">
      <c r="A24" s="34" t="s">
        <v>165</v>
      </c>
      <c r="B24" s="35" t="s">
        <v>166</v>
      </c>
      <c r="C24" s="33">
        <f>C25</f>
        <v>2195.018</v>
      </c>
      <c r="D24" s="33">
        <f>D25</f>
        <v>2934.8139999999999</v>
      </c>
      <c r="E24" s="33">
        <f>E25</f>
        <v>3061.3049999999998</v>
      </c>
      <c r="H24" s="554"/>
      <c r="I24" s="554"/>
      <c r="J24" s="554"/>
    </row>
    <row r="25" spans="1:10" s="23" customFormat="1" ht="15.75" hidden="1" customHeight="1" x14ac:dyDescent="0.2">
      <c r="A25" s="26" t="s">
        <v>167</v>
      </c>
      <c r="B25" s="460" t="s">
        <v>168</v>
      </c>
      <c r="C25" s="2">
        <v>2195.018</v>
      </c>
      <c r="D25" s="2">
        <v>2934.8139999999999</v>
      </c>
      <c r="E25" s="2">
        <v>3061.3049999999998</v>
      </c>
    </row>
    <row r="26" spans="1:10" s="23" customFormat="1" ht="15.75" x14ac:dyDescent="0.2">
      <c r="A26" s="36" t="s">
        <v>169</v>
      </c>
      <c r="B26" s="32" t="s">
        <v>170</v>
      </c>
      <c r="C26" s="33">
        <f>C27+C28</f>
        <v>67940</v>
      </c>
      <c r="D26" s="33">
        <f>D27+D28</f>
        <v>66430</v>
      </c>
      <c r="E26" s="33">
        <f>E27+E28</f>
        <v>67925</v>
      </c>
    </row>
    <row r="27" spans="1:10" s="23" customFormat="1" ht="15.75" hidden="1" x14ac:dyDescent="0.2">
      <c r="A27" s="26" t="s">
        <v>171</v>
      </c>
      <c r="B27" s="37" t="s">
        <v>172</v>
      </c>
      <c r="C27" s="2">
        <v>9280</v>
      </c>
      <c r="D27" s="2">
        <v>9465</v>
      </c>
      <c r="E27" s="2">
        <v>9650</v>
      </c>
    </row>
    <row r="28" spans="1:10" s="23" customFormat="1" ht="15.75" hidden="1" x14ac:dyDescent="0.2">
      <c r="A28" s="26" t="s">
        <v>173</v>
      </c>
      <c r="B28" s="461" t="s">
        <v>174</v>
      </c>
      <c r="C28" s="2">
        <v>58660</v>
      </c>
      <c r="D28" s="2">
        <v>56965</v>
      </c>
      <c r="E28" s="2">
        <v>58275</v>
      </c>
    </row>
    <row r="29" spans="1:10" s="23" customFormat="1" ht="31.5" x14ac:dyDescent="0.2">
      <c r="A29" s="36" t="s">
        <v>175</v>
      </c>
      <c r="B29" s="38" t="s">
        <v>176</v>
      </c>
      <c r="C29" s="39">
        <f>C30+C31+C32+C33</f>
        <v>16979.8</v>
      </c>
      <c r="D29" s="39">
        <f>SUM(D30:D33)</f>
        <v>13979.8</v>
      </c>
      <c r="E29" s="39">
        <f>SUM(E30:E33)</f>
        <v>13979.8</v>
      </c>
    </row>
    <row r="30" spans="1:10" s="23" customFormat="1" ht="54" hidden="1" x14ac:dyDescent="0.2">
      <c r="A30" s="26" t="s">
        <v>177</v>
      </c>
      <c r="B30" s="37" t="s">
        <v>178</v>
      </c>
      <c r="C30" s="2">
        <v>5863</v>
      </c>
      <c r="D30" s="2">
        <v>5863</v>
      </c>
      <c r="E30" s="2">
        <v>5863</v>
      </c>
    </row>
    <row r="31" spans="1:10" s="23" customFormat="1" ht="40.5" hidden="1" x14ac:dyDescent="0.2">
      <c r="A31" s="26" t="s">
        <v>355</v>
      </c>
      <c r="B31" s="40" t="s">
        <v>356</v>
      </c>
      <c r="C31" s="2">
        <v>6000</v>
      </c>
      <c r="D31" s="2">
        <v>3000</v>
      </c>
      <c r="E31" s="2">
        <v>3000</v>
      </c>
    </row>
    <row r="32" spans="1:10" s="23" customFormat="1" ht="27" hidden="1" x14ac:dyDescent="0.2">
      <c r="A32" s="26" t="s">
        <v>179</v>
      </c>
      <c r="B32" s="37" t="s">
        <v>180</v>
      </c>
      <c r="C32" s="2">
        <v>1916.8</v>
      </c>
      <c r="D32" s="2">
        <v>1916.8</v>
      </c>
      <c r="E32" s="2">
        <v>1916.8</v>
      </c>
    </row>
    <row r="33" spans="1:5" s="23" customFormat="1" ht="41.25" hidden="1" customHeight="1" x14ac:dyDescent="0.2">
      <c r="A33" s="41" t="s">
        <v>181</v>
      </c>
      <c r="B33" s="37" t="s">
        <v>182</v>
      </c>
      <c r="C33" s="2">
        <v>3200</v>
      </c>
      <c r="D33" s="2">
        <v>3200</v>
      </c>
      <c r="E33" s="2">
        <v>3200</v>
      </c>
    </row>
    <row r="34" spans="1:5" s="23" customFormat="1" ht="31.5" x14ac:dyDescent="0.2">
      <c r="A34" s="34" t="s">
        <v>183</v>
      </c>
      <c r="B34" s="38" t="s">
        <v>413</v>
      </c>
      <c r="C34" s="33">
        <f>C35+C36</f>
        <v>4071.8</v>
      </c>
      <c r="D34" s="33">
        <f>D35+D36</f>
        <v>4071.8</v>
      </c>
      <c r="E34" s="33">
        <f>E35+E36</f>
        <v>4071.8</v>
      </c>
    </row>
    <row r="35" spans="1:5" s="23" customFormat="1" ht="8.25" hidden="1" customHeight="1" x14ac:dyDescent="0.2">
      <c r="A35" s="26" t="s">
        <v>184</v>
      </c>
      <c r="B35" s="37" t="s">
        <v>185</v>
      </c>
      <c r="C35" s="2">
        <v>3991.8</v>
      </c>
      <c r="D35" s="2">
        <f>1907.8+2084</f>
        <v>3991.8</v>
      </c>
      <c r="E35" s="2">
        <f>1907.8+2084</f>
        <v>3991.8</v>
      </c>
    </row>
    <row r="36" spans="1:5" s="23" customFormat="1" ht="8.25" hidden="1" customHeight="1" x14ac:dyDescent="0.2">
      <c r="A36" s="26" t="s">
        <v>186</v>
      </c>
      <c r="B36" s="37" t="s">
        <v>187</v>
      </c>
      <c r="C36" s="2">
        <v>80</v>
      </c>
      <c r="D36" s="2">
        <v>80</v>
      </c>
      <c r="E36" s="2">
        <v>80</v>
      </c>
    </row>
    <row r="37" spans="1:5" s="23" customFormat="1" ht="20.25" customHeight="1" x14ac:dyDescent="0.2">
      <c r="A37" s="34" t="s">
        <v>188</v>
      </c>
      <c r="B37" s="38" t="s">
        <v>189</v>
      </c>
      <c r="C37" s="33">
        <f>C38+C39+C40</f>
        <v>89432.924929999994</v>
      </c>
      <c r="D37" s="33">
        <f>D38+D39+D40</f>
        <v>3000</v>
      </c>
      <c r="E37" s="33">
        <f>E38+E39+E40</f>
        <v>1000</v>
      </c>
    </row>
    <row r="38" spans="1:5" s="23" customFormat="1" ht="54" hidden="1" x14ac:dyDescent="0.2">
      <c r="A38" s="26" t="s">
        <v>190</v>
      </c>
      <c r="B38" s="40" t="s">
        <v>191</v>
      </c>
      <c r="C38" s="590">
        <v>20450</v>
      </c>
      <c r="D38" s="590">
        <v>2000</v>
      </c>
      <c r="E38" s="590">
        <v>0</v>
      </c>
    </row>
    <row r="39" spans="1:5" s="23" customFormat="1" ht="27" hidden="1" x14ac:dyDescent="0.2">
      <c r="A39" s="41" t="s">
        <v>194</v>
      </c>
      <c r="B39" s="37" t="s">
        <v>195</v>
      </c>
      <c r="C39" s="590">
        <v>1000</v>
      </c>
      <c r="D39" s="590">
        <v>1000</v>
      </c>
      <c r="E39" s="590">
        <v>1000</v>
      </c>
    </row>
    <row r="40" spans="1:5" s="23" customFormat="1" ht="31.5" hidden="1" x14ac:dyDescent="0.2">
      <c r="A40" s="26" t="s">
        <v>192</v>
      </c>
      <c r="B40" s="40" t="s">
        <v>193</v>
      </c>
      <c r="C40" s="590">
        <v>67982.924929999994</v>
      </c>
      <c r="D40" s="590">
        <v>0</v>
      </c>
      <c r="E40" s="590">
        <v>0</v>
      </c>
    </row>
    <row r="41" spans="1:5" s="23" customFormat="1" ht="15.75" x14ac:dyDescent="0.2">
      <c r="A41" s="42" t="s">
        <v>196</v>
      </c>
      <c r="B41" s="612" t="s">
        <v>197</v>
      </c>
      <c r="C41" s="611">
        <f>C42+C67</f>
        <v>113175.56917</v>
      </c>
      <c r="D41" s="611">
        <f>D42+D67</f>
        <v>88833.356289999996</v>
      </c>
      <c r="E41" s="611">
        <f>E42+E67</f>
        <v>106377.7</v>
      </c>
    </row>
    <row r="42" spans="1:5" s="23" customFormat="1" ht="31.5" x14ac:dyDescent="0.2">
      <c r="A42" s="42" t="s">
        <v>198</v>
      </c>
      <c r="B42" s="35" t="s">
        <v>416</v>
      </c>
      <c r="C42" s="33">
        <f>C43+C46+C61+C65+C45</f>
        <v>113175.56917</v>
      </c>
      <c r="D42" s="33">
        <f>D43+D46+D61+D68+D45</f>
        <v>88833.356289999996</v>
      </c>
      <c r="E42" s="33">
        <f>E43+E46+E61+E68+E45</f>
        <v>106377.7</v>
      </c>
    </row>
    <row r="43" spans="1:5" s="23" customFormat="1" ht="15.75" x14ac:dyDescent="0.2">
      <c r="A43" s="43" t="s">
        <v>444</v>
      </c>
      <c r="B43" s="44" t="s">
        <v>199</v>
      </c>
      <c r="C43" s="33">
        <f>C44</f>
        <v>70870.8</v>
      </c>
      <c r="D43" s="33">
        <f>D44</f>
        <v>67030.7</v>
      </c>
      <c r="E43" s="33">
        <f>E44</f>
        <v>70141</v>
      </c>
    </row>
    <row r="44" spans="1:5" s="23" customFormat="1" ht="27" hidden="1" x14ac:dyDescent="0.2">
      <c r="A44" s="41" t="s">
        <v>217</v>
      </c>
      <c r="B44" s="37" t="s">
        <v>443</v>
      </c>
      <c r="C44" s="2">
        <v>70870.8</v>
      </c>
      <c r="D44" s="2">
        <v>67030.7</v>
      </c>
      <c r="E44" s="2">
        <v>70141</v>
      </c>
    </row>
    <row r="45" spans="1:5" s="23" customFormat="1" ht="27" hidden="1" customHeight="1" outlineLevel="1" x14ac:dyDescent="0.2">
      <c r="A45" s="41" t="s">
        <v>200</v>
      </c>
      <c r="B45" s="37" t="s">
        <v>201</v>
      </c>
      <c r="C45" s="2">
        <v>0</v>
      </c>
      <c r="D45" s="2">
        <v>0</v>
      </c>
      <c r="E45" s="2">
        <v>0</v>
      </c>
    </row>
    <row r="46" spans="1:5" s="23" customFormat="1" ht="17.25" customHeight="1" collapsed="1" x14ac:dyDescent="0.2">
      <c r="A46" s="42" t="s">
        <v>202</v>
      </c>
      <c r="B46" s="44" t="s">
        <v>203</v>
      </c>
      <c r="C46" s="33">
        <f>C47+C48+C49+C50+C52+C53+C54+C55+C56+C57+C60+C58+C59</f>
        <v>37031.569170000002</v>
      </c>
      <c r="D46" s="33">
        <f>D47+D48+D49+D50+D52+D53+D54+D55+D56+D57+D60+D58+D59</f>
        <v>16276.256290000001</v>
      </c>
      <c r="E46" s="33">
        <f>E47+E48+E49+E50+E52+E53+E54+E55+E56+E57+E60+E58+E59</f>
        <v>30041.7</v>
      </c>
    </row>
    <row r="47" spans="1:5" s="23" customFormat="1" ht="69" hidden="1" customHeight="1" outlineLevel="1" x14ac:dyDescent="0.2">
      <c r="A47" s="41" t="s">
        <v>204</v>
      </c>
      <c r="B47" s="37" t="s">
        <v>226</v>
      </c>
      <c r="C47" s="45">
        <v>0</v>
      </c>
      <c r="D47" s="45">
        <v>0</v>
      </c>
      <c r="E47" s="45">
        <v>0</v>
      </c>
    </row>
    <row r="48" spans="1:5" s="23" customFormat="1" ht="36" hidden="1" customHeight="1" outlineLevel="1" x14ac:dyDescent="0.2">
      <c r="A48" s="41" t="s">
        <v>204</v>
      </c>
      <c r="B48" s="37"/>
      <c r="C48" s="46">
        <v>0</v>
      </c>
      <c r="D48" s="46">
        <v>0</v>
      </c>
      <c r="E48" s="46"/>
    </row>
    <row r="49" spans="1:5" s="23" customFormat="1" ht="54" hidden="1" collapsed="1" x14ac:dyDescent="0.2">
      <c r="A49" s="41" t="s">
        <v>205</v>
      </c>
      <c r="B49" s="37" t="s">
        <v>428</v>
      </c>
      <c r="C49" s="2">
        <v>0</v>
      </c>
      <c r="D49" s="2">
        <v>5217.8</v>
      </c>
      <c r="E49" s="2">
        <v>5123.5</v>
      </c>
    </row>
    <row r="50" spans="1:5" s="23" customFormat="1" ht="34.5" hidden="1" customHeight="1" outlineLevel="1" x14ac:dyDescent="0.2">
      <c r="A50" s="41" t="s">
        <v>205</v>
      </c>
      <c r="B50" s="37" t="s">
        <v>222</v>
      </c>
      <c r="C50" s="2">
        <v>0</v>
      </c>
      <c r="D50" s="2">
        <v>0</v>
      </c>
      <c r="E50" s="2">
        <v>0</v>
      </c>
    </row>
    <row r="51" spans="1:5" s="23" customFormat="1" ht="40.5" hidden="1" customHeight="1" outlineLevel="1" x14ac:dyDescent="0.2">
      <c r="A51" s="41" t="s">
        <v>223</v>
      </c>
      <c r="B51" s="37" t="s">
        <v>224</v>
      </c>
      <c r="C51" s="2">
        <v>0</v>
      </c>
      <c r="D51" s="2">
        <v>0</v>
      </c>
      <c r="E51" s="2">
        <v>0</v>
      </c>
    </row>
    <row r="52" spans="1:5" s="23" customFormat="1" ht="27" hidden="1" collapsed="1" x14ac:dyDescent="0.2">
      <c r="A52" s="462" t="s">
        <v>206</v>
      </c>
      <c r="B52" s="37" t="s">
        <v>429</v>
      </c>
      <c r="C52" s="2">
        <v>17000</v>
      </c>
      <c r="D52" s="2">
        <v>0</v>
      </c>
      <c r="E52" s="2">
        <v>0</v>
      </c>
    </row>
    <row r="53" spans="1:5" s="23" customFormat="1" ht="27" hidden="1" x14ac:dyDescent="0.2">
      <c r="A53" s="41" t="s">
        <v>212</v>
      </c>
      <c r="B53" s="37" t="s">
        <v>221</v>
      </c>
      <c r="C53" s="2">
        <v>0</v>
      </c>
      <c r="D53" s="2">
        <v>0</v>
      </c>
      <c r="E53" s="46">
        <v>0</v>
      </c>
    </row>
    <row r="54" spans="1:5" s="23" customFormat="1" ht="41.25" hidden="1" customHeight="1" outlineLevel="1" x14ac:dyDescent="0.2">
      <c r="A54" s="41" t="s">
        <v>207</v>
      </c>
      <c r="B54" s="47" t="s">
        <v>284</v>
      </c>
      <c r="C54" s="45">
        <v>0</v>
      </c>
      <c r="D54" s="45">
        <v>0</v>
      </c>
      <c r="E54" s="45">
        <v>0</v>
      </c>
    </row>
    <row r="55" spans="1:5" s="23" customFormat="1" ht="42.75" hidden="1" customHeight="1" collapsed="1" x14ac:dyDescent="0.2">
      <c r="A55" s="41" t="s">
        <v>207</v>
      </c>
      <c r="B55" s="37" t="s">
        <v>220</v>
      </c>
      <c r="C55" s="2">
        <v>5.2691699999999999</v>
      </c>
      <c r="D55" s="2">
        <v>6.4562900000000001</v>
      </c>
      <c r="E55" s="2">
        <v>0</v>
      </c>
    </row>
    <row r="56" spans="1:5" s="23" customFormat="1" ht="66" hidden="1" customHeight="1" x14ac:dyDescent="0.2">
      <c r="A56" s="41" t="s">
        <v>207</v>
      </c>
      <c r="B56" s="37" t="s">
        <v>511</v>
      </c>
      <c r="C56" s="2">
        <v>11052</v>
      </c>
      <c r="D56" s="2">
        <v>11052</v>
      </c>
      <c r="E56" s="2">
        <v>11052</v>
      </c>
    </row>
    <row r="57" spans="1:5" s="23" customFormat="1" ht="27" hidden="1" x14ac:dyDescent="0.2">
      <c r="A57" s="41" t="s">
        <v>207</v>
      </c>
      <c r="B57" s="37" t="s">
        <v>216</v>
      </c>
      <c r="C57" s="2">
        <v>1800</v>
      </c>
      <c r="D57" s="2">
        <v>0</v>
      </c>
      <c r="E57" s="2">
        <v>0</v>
      </c>
    </row>
    <row r="58" spans="1:5" s="23" customFormat="1" ht="40.5" hidden="1" x14ac:dyDescent="0.2">
      <c r="A58" s="41" t="s">
        <v>207</v>
      </c>
      <c r="B58" s="37" t="s">
        <v>349</v>
      </c>
      <c r="C58" s="2">
        <v>2174.9</v>
      </c>
      <c r="D58" s="2">
        <v>0</v>
      </c>
      <c r="E58" s="2">
        <v>0</v>
      </c>
    </row>
    <row r="59" spans="1:5" s="23" customFormat="1" ht="27" hidden="1" x14ac:dyDescent="0.2">
      <c r="A59" s="41" t="s">
        <v>207</v>
      </c>
      <c r="B59" s="37" t="s">
        <v>514</v>
      </c>
      <c r="C59" s="2">
        <v>4999.3999999999996</v>
      </c>
      <c r="D59" s="2">
        <v>0</v>
      </c>
      <c r="E59" s="2">
        <v>0</v>
      </c>
    </row>
    <row r="60" spans="1:5" s="23" customFormat="1" ht="27" hidden="1" x14ac:dyDescent="0.2">
      <c r="A60" s="41" t="s">
        <v>207</v>
      </c>
      <c r="B60" s="37" t="s">
        <v>515</v>
      </c>
      <c r="C60" s="2">
        <v>0</v>
      </c>
      <c r="D60" s="2">
        <v>0</v>
      </c>
      <c r="E60" s="2">
        <v>13866.2</v>
      </c>
    </row>
    <row r="61" spans="1:5" s="23" customFormat="1" ht="15.75" x14ac:dyDescent="0.2">
      <c r="A61" s="48" t="s">
        <v>208</v>
      </c>
      <c r="B61" s="44" t="s">
        <v>209</v>
      </c>
      <c r="C61" s="49">
        <f>C62+C63+C64</f>
        <v>5273.2</v>
      </c>
      <c r="D61" s="49">
        <f>D62+D63+D64</f>
        <v>5526.4</v>
      </c>
      <c r="E61" s="49">
        <f>E62+E63+E64</f>
        <v>6194.9999999999991</v>
      </c>
    </row>
    <row r="62" spans="1:5" s="23" customFormat="1" ht="27" hidden="1" x14ac:dyDescent="0.2">
      <c r="A62" s="463" t="s">
        <v>210</v>
      </c>
      <c r="B62" s="37" t="s">
        <v>417</v>
      </c>
      <c r="C62" s="464">
        <v>2263.8000000000002</v>
      </c>
      <c r="D62" s="464">
        <v>2517</v>
      </c>
      <c r="E62" s="464">
        <v>3185.6</v>
      </c>
    </row>
    <row r="63" spans="1:5" s="50" customFormat="1" ht="40.5" hidden="1" x14ac:dyDescent="0.2">
      <c r="A63" s="463" t="s">
        <v>211</v>
      </c>
      <c r="B63" s="37" t="s">
        <v>512</v>
      </c>
      <c r="C63" s="464">
        <v>2998.7</v>
      </c>
      <c r="D63" s="464">
        <v>2998.7</v>
      </c>
      <c r="E63" s="464">
        <v>2998.7</v>
      </c>
    </row>
    <row r="64" spans="1:5" s="50" customFormat="1" ht="40.5" hidden="1" x14ac:dyDescent="0.2">
      <c r="A64" s="463" t="s">
        <v>211</v>
      </c>
      <c r="B64" s="37" t="s">
        <v>513</v>
      </c>
      <c r="C64" s="464">
        <v>10.7</v>
      </c>
      <c r="D64" s="464">
        <v>10.7</v>
      </c>
      <c r="E64" s="464">
        <v>10.7</v>
      </c>
    </row>
    <row r="65" spans="1:5" s="23" customFormat="1" ht="15.75" hidden="1" x14ac:dyDescent="0.2">
      <c r="A65" s="48" t="s">
        <v>225</v>
      </c>
      <c r="B65" s="44" t="s">
        <v>2</v>
      </c>
      <c r="C65" s="49">
        <f>SUM(C66)</f>
        <v>0</v>
      </c>
      <c r="D65" s="49">
        <f>SUM(D66)</f>
        <v>0</v>
      </c>
      <c r="E65" s="49">
        <f>SUM(E66)</f>
        <v>0</v>
      </c>
    </row>
    <row r="66" spans="1:5" s="23" customFormat="1" ht="54" hidden="1" x14ac:dyDescent="0.2">
      <c r="A66" s="463" t="s">
        <v>450</v>
      </c>
      <c r="B66" s="37" t="s">
        <v>470</v>
      </c>
      <c r="C66" s="464">
        <v>0</v>
      </c>
      <c r="D66" s="464">
        <v>0</v>
      </c>
      <c r="E66" s="464">
        <v>0</v>
      </c>
    </row>
    <row r="67" spans="1:5" s="23" customFormat="1" ht="63" hidden="1" x14ac:dyDescent="0.2">
      <c r="A67" s="48" t="s">
        <v>451</v>
      </c>
      <c r="B67" s="35" t="s">
        <v>452</v>
      </c>
      <c r="C67" s="49">
        <f>SUM(C68)</f>
        <v>0</v>
      </c>
      <c r="D67" s="49">
        <f>SUM(D69)</f>
        <v>0</v>
      </c>
      <c r="E67" s="49">
        <f>SUM(E69)</f>
        <v>0</v>
      </c>
    </row>
    <row r="68" spans="1:5" s="51" customFormat="1" ht="78.75" hidden="1" x14ac:dyDescent="0.2">
      <c r="A68" s="48" t="s">
        <v>447</v>
      </c>
      <c r="B68" s="35" t="s">
        <v>446</v>
      </c>
      <c r="C68" s="49">
        <f>SUM(C69)</f>
        <v>0</v>
      </c>
      <c r="D68" s="49">
        <f>SUM(D70)</f>
        <v>0</v>
      </c>
      <c r="E68" s="49">
        <f>SUM(E70)</f>
        <v>0</v>
      </c>
    </row>
    <row r="69" spans="1:5" s="51" customFormat="1" ht="54" hidden="1" x14ac:dyDescent="0.2">
      <c r="A69" s="42" t="s">
        <v>453</v>
      </c>
      <c r="B69" s="44" t="s">
        <v>454</v>
      </c>
      <c r="C69" s="33">
        <f>C70</f>
        <v>0</v>
      </c>
      <c r="D69" s="33">
        <v>0</v>
      </c>
      <c r="E69" s="33">
        <v>0</v>
      </c>
    </row>
    <row r="70" spans="1:5" s="23" customFormat="1" ht="40.5" hidden="1" x14ac:dyDescent="0.2">
      <c r="A70" s="41" t="s">
        <v>448</v>
      </c>
      <c r="B70" s="37" t="s">
        <v>449</v>
      </c>
      <c r="C70" s="2">
        <v>0</v>
      </c>
      <c r="D70" s="2">
        <v>0</v>
      </c>
      <c r="E70" s="2">
        <v>0</v>
      </c>
    </row>
    <row r="71" spans="1:5" s="23" customFormat="1" ht="18.75" x14ac:dyDescent="0.2">
      <c r="A71" s="790" t="s">
        <v>1</v>
      </c>
      <c r="B71" s="790"/>
      <c r="C71" s="614">
        <f>C21+C41</f>
        <v>396441.9031</v>
      </c>
      <c r="D71" s="614">
        <f>D21+D41</f>
        <v>290826.83328999998</v>
      </c>
      <c r="E71" s="614">
        <f>E21+E41</f>
        <v>316472.51599999995</v>
      </c>
    </row>
    <row r="74" spans="1:5" x14ac:dyDescent="0.2">
      <c r="C74" s="53"/>
    </row>
    <row r="80" spans="1:5" x14ac:dyDescent="0.2">
      <c r="C80" s="52" t="str">
        <f>C20</f>
        <v>2026 год</v>
      </c>
      <c r="D80" s="52" t="str">
        <f t="shared" ref="D80:E80" si="0">D20</f>
        <v>2027 год</v>
      </c>
      <c r="E80" s="52" t="str">
        <f t="shared" si="0"/>
        <v>2028 год</v>
      </c>
    </row>
    <row r="81" spans="2:5" x14ac:dyDescent="0.2">
      <c r="B81" s="52" t="str">
        <f>B21</f>
        <v>НАЛОГОВЫЕ И НЕНАЛОГОВЫЕ ДОХОДЫ</v>
      </c>
      <c r="C81" s="613">
        <f>C21/C71</f>
        <v>0.71452167824587354</v>
      </c>
      <c r="D81" s="613">
        <f t="shared" ref="D81:E81" si="1">D21/D71</f>
        <v>0.69454896824661561</v>
      </c>
      <c r="E81" s="613">
        <f t="shared" si="1"/>
        <v>0.66386433379889453</v>
      </c>
    </row>
    <row r="82" spans="2:5" x14ac:dyDescent="0.2">
      <c r="B82" s="52" t="str">
        <f>B41</f>
        <v>БЕЗВОЗМЕЗДНЫЕ ПОСТУПЛЕНИЯ</v>
      </c>
      <c r="C82" s="613">
        <f>C41/C83</f>
        <v>0.28547832175412641</v>
      </c>
      <c r="D82" s="613">
        <f t="shared" ref="D82:E82" si="2">D41/D83</f>
        <v>0.30545103175338434</v>
      </c>
      <c r="E82" s="613">
        <f t="shared" si="2"/>
        <v>0.33613566620110547</v>
      </c>
    </row>
    <row r="83" spans="2:5" x14ac:dyDescent="0.2">
      <c r="B83" s="52" t="str">
        <f>A71</f>
        <v>ВСЕГО</v>
      </c>
      <c r="C83" s="53">
        <f>C71</f>
        <v>396441.9031</v>
      </c>
      <c r="D83" s="53">
        <f t="shared" ref="D83:E83" si="3">D71</f>
        <v>290826.83328999998</v>
      </c>
      <c r="E83" s="53">
        <f t="shared" si="3"/>
        <v>316472.51599999995</v>
      </c>
    </row>
  </sheetData>
  <mergeCells count="8">
    <mergeCell ref="A71:B71"/>
    <mergeCell ref="A14:E14"/>
    <mergeCell ref="A15:E15"/>
    <mergeCell ref="A16:E16"/>
    <mergeCell ref="A17:E17"/>
    <mergeCell ref="A19:A20"/>
    <mergeCell ref="B19:B20"/>
    <mergeCell ref="C19:E19"/>
  </mergeCells>
  <printOptions horizontalCentered="1"/>
  <pageMargins left="0" right="0" top="1.3779527559055118" bottom="0.39370078740157483" header="0.39370078740157483" footer="0"/>
  <pageSetup paperSize="9" scale="89" fitToHeight="8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12B5-BC9B-4BB7-BCDE-0E5B063EDB8E}">
  <sheetPr filterMode="1">
    <pageSetUpPr fitToPage="1"/>
  </sheetPr>
  <dimension ref="A1:H319"/>
  <sheetViews>
    <sheetView topLeftCell="A4" zoomScale="145" zoomScaleNormal="145" workbookViewId="0">
      <selection activeCell="A19" sqref="A19:H314"/>
    </sheetView>
  </sheetViews>
  <sheetFormatPr defaultRowHeight="12.75" x14ac:dyDescent="0.2"/>
  <cols>
    <col min="1" max="1" width="30.140625" style="52" customWidth="1"/>
    <col min="2" max="2" width="13.42578125" style="52" hidden="1" customWidth="1"/>
    <col min="3" max="5" width="4.42578125" style="52" hidden="1" customWidth="1"/>
    <col min="6" max="8" width="15.140625" style="52" customWidth="1"/>
    <col min="9" max="16384" width="9.140625" style="52"/>
  </cols>
  <sheetData>
    <row r="1" spans="1:8" ht="15.75" x14ac:dyDescent="0.25">
      <c r="A1" s="202"/>
      <c r="B1" s="202"/>
      <c r="C1" s="202"/>
      <c r="D1" s="202"/>
      <c r="E1" s="202"/>
      <c r="F1" s="306" t="s">
        <v>436</v>
      </c>
      <c r="G1" s="202"/>
      <c r="H1" s="202"/>
    </row>
    <row r="2" spans="1:8" ht="15.75" x14ac:dyDescent="0.25">
      <c r="A2" s="202"/>
      <c r="B2" s="202"/>
      <c r="C2" s="202"/>
      <c r="D2" s="202"/>
      <c r="E2" s="202"/>
      <c r="F2" s="337" t="str">
        <f>пр.1!D9</f>
        <v xml:space="preserve">к  решению совета депутатов             </v>
      </c>
      <c r="G2" s="202"/>
      <c r="H2" s="202"/>
    </row>
    <row r="3" spans="1:8" ht="15.75" x14ac:dyDescent="0.25">
      <c r="A3" s="202"/>
      <c r="B3" s="202"/>
      <c r="C3" s="202"/>
      <c r="D3" s="202"/>
      <c r="E3" s="202"/>
      <c r="F3" s="337" t="str">
        <f>пр.1!D10</f>
        <v>Никольского городского поселения</v>
      </c>
      <c r="G3" s="202"/>
      <c r="H3" s="202"/>
    </row>
    <row r="4" spans="1:8" ht="15.75" x14ac:dyDescent="0.25">
      <c r="A4" s="202"/>
      <c r="B4" s="202"/>
      <c r="C4" s="202"/>
      <c r="D4" s="202"/>
      <c r="E4" s="202"/>
      <c r="F4" s="337" t="str">
        <f>пр.1!D11</f>
        <v>Тосненского муниципального района</v>
      </c>
      <c r="G4" s="202"/>
      <c r="H4" s="202"/>
    </row>
    <row r="5" spans="1:8" ht="15.75" x14ac:dyDescent="0.25">
      <c r="A5" s="202"/>
      <c r="B5" s="202"/>
      <c r="C5" s="202"/>
      <c r="D5" s="202"/>
      <c r="E5" s="202"/>
      <c r="F5" s="337" t="str">
        <f>пр.1!D12</f>
        <v>Ленинградской области</v>
      </c>
      <c r="G5" s="202"/>
      <c r="H5" s="202"/>
    </row>
    <row r="6" spans="1:8" ht="15.75" x14ac:dyDescent="0.25">
      <c r="A6" s="202"/>
      <c r="B6" s="202"/>
      <c r="C6" s="202"/>
      <c r="D6" s="202"/>
      <c r="E6" s="202"/>
      <c r="F6" s="337" t="str">
        <f>пр.1!D13</f>
        <v>от 25.12.2025 №80</v>
      </c>
      <c r="G6" s="202"/>
      <c r="H6" s="202"/>
    </row>
    <row r="7" spans="1:8" ht="15.75" x14ac:dyDescent="0.25">
      <c r="A7" s="202"/>
      <c r="B7" s="202"/>
      <c r="C7" s="202"/>
      <c r="D7" s="202"/>
      <c r="E7" s="202"/>
      <c r="F7" s="337"/>
      <c r="G7" s="202"/>
      <c r="H7" s="202"/>
    </row>
    <row r="8" spans="1:8" ht="15.75" hidden="1" x14ac:dyDescent="0.25">
      <c r="A8" s="202"/>
      <c r="B8" s="202"/>
      <c r="C8" s="202"/>
      <c r="D8" s="202"/>
      <c r="E8" s="202"/>
      <c r="F8" s="306" t="s">
        <v>436</v>
      </c>
      <c r="G8" s="202"/>
      <c r="H8" s="202"/>
    </row>
    <row r="9" spans="1:8" ht="15.75" hidden="1" x14ac:dyDescent="0.25">
      <c r="A9" s="202"/>
      <c r="B9" s="202"/>
      <c r="C9" s="202"/>
      <c r="D9" s="202"/>
      <c r="E9" s="202"/>
      <c r="F9" s="337" t="str">
        <f>пр.1!D16</f>
        <v xml:space="preserve">к  решению совета депутатов             </v>
      </c>
      <c r="G9" s="202"/>
      <c r="H9" s="202"/>
    </row>
    <row r="10" spans="1:8" ht="15.75" hidden="1" x14ac:dyDescent="0.25">
      <c r="A10" s="202"/>
      <c r="B10" s="202"/>
      <c r="C10" s="202"/>
      <c r="D10" s="202"/>
      <c r="E10" s="202"/>
      <c r="F10" s="337" t="str">
        <f>пр.1!D17</f>
        <v>Никольского городского поселения</v>
      </c>
      <c r="G10" s="202"/>
      <c r="H10" s="202"/>
    </row>
    <row r="11" spans="1:8" ht="15.75" hidden="1" x14ac:dyDescent="0.25">
      <c r="A11" s="202"/>
      <c r="B11" s="202"/>
      <c r="C11" s="202"/>
      <c r="D11" s="202"/>
      <c r="E11" s="202"/>
      <c r="F11" s="337" t="str">
        <f>пр.1!D18</f>
        <v>Тосненского муниципального района</v>
      </c>
      <c r="G11" s="202"/>
      <c r="H11" s="202"/>
    </row>
    <row r="12" spans="1:8" ht="15.75" hidden="1" x14ac:dyDescent="0.25">
      <c r="A12" s="202"/>
      <c r="B12" s="202"/>
      <c r="C12" s="202"/>
      <c r="D12" s="202"/>
      <c r="E12" s="202"/>
      <c r="F12" s="337" t="str">
        <f>пр.1!D19</f>
        <v>Ленинградской области</v>
      </c>
      <c r="G12" s="202"/>
      <c r="H12" s="202"/>
    </row>
    <row r="13" spans="1:8" ht="15.75" hidden="1" x14ac:dyDescent="0.25">
      <c r="A13" s="202"/>
      <c r="B13" s="202"/>
      <c r="C13" s="202"/>
      <c r="D13" s="202"/>
      <c r="E13" s="202"/>
      <c r="F13" s="337" t="str">
        <f>пр.1!D20</f>
        <v>от 24.12.2024 №25</v>
      </c>
      <c r="G13" s="202"/>
      <c r="H13" s="202"/>
    </row>
    <row r="14" spans="1:8" x14ac:dyDescent="0.2">
      <c r="A14" s="202"/>
      <c r="B14" s="202"/>
      <c r="C14" s="202"/>
      <c r="D14" s="202"/>
      <c r="E14" s="202"/>
      <c r="F14" s="202"/>
      <c r="G14" s="202"/>
      <c r="H14" s="202"/>
    </row>
    <row r="15" spans="1:8" s="55" customFormat="1" ht="15.75" x14ac:dyDescent="0.25">
      <c r="A15" s="753" t="s">
        <v>461</v>
      </c>
      <c r="B15" s="753"/>
      <c r="C15" s="753"/>
      <c r="D15" s="753"/>
      <c r="E15" s="753"/>
      <c r="F15" s="753"/>
      <c r="G15" s="753"/>
      <c r="H15" s="753"/>
    </row>
    <row r="16" spans="1:8" s="55" customFormat="1" ht="15.75" x14ac:dyDescent="0.25">
      <c r="A16" s="753" t="s">
        <v>460</v>
      </c>
      <c r="B16" s="753"/>
      <c r="C16" s="753"/>
      <c r="D16" s="753"/>
      <c r="E16" s="753"/>
      <c r="F16" s="753"/>
      <c r="G16" s="753"/>
      <c r="H16" s="753"/>
    </row>
    <row r="17" spans="1:8" s="55" customFormat="1" ht="15.75" x14ac:dyDescent="0.25">
      <c r="A17" s="753" t="s">
        <v>474</v>
      </c>
      <c r="B17" s="753"/>
      <c r="C17" s="753"/>
      <c r="D17" s="753"/>
      <c r="E17" s="753"/>
      <c r="F17" s="753"/>
      <c r="G17" s="753"/>
      <c r="H17" s="753"/>
    </row>
    <row r="18" spans="1:8" s="55" customFormat="1" ht="15.75" x14ac:dyDescent="0.25">
      <c r="A18" s="13"/>
      <c r="B18" s="13"/>
      <c r="C18" s="13"/>
      <c r="D18" s="13"/>
      <c r="E18" s="13"/>
      <c r="F18" s="13"/>
      <c r="H18" s="589"/>
    </row>
    <row r="19" spans="1:8" s="55" customFormat="1" ht="15.75" x14ac:dyDescent="0.25">
      <c r="A19" s="637" t="s">
        <v>0</v>
      </c>
      <c r="B19" s="635"/>
      <c r="C19" s="57"/>
      <c r="D19" s="57"/>
      <c r="E19" s="636"/>
      <c r="F19" s="56" t="s">
        <v>317</v>
      </c>
      <c r="G19" s="56" t="s">
        <v>343</v>
      </c>
      <c r="H19" s="56" t="s">
        <v>473</v>
      </c>
    </row>
    <row r="20" spans="1:8" s="55" customFormat="1" ht="16.5" hidden="1" thickBot="1" x14ac:dyDescent="0.3">
      <c r="A20" s="336" t="s">
        <v>23</v>
      </c>
      <c r="B20" s="59"/>
      <c r="C20" s="59"/>
      <c r="D20" s="59"/>
      <c r="E20" s="59"/>
      <c r="F20" s="65">
        <f>SUM(F21+F195)</f>
        <v>511315.6225</v>
      </c>
      <c r="G20" s="65">
        <f>SUM(G21+G195)</f>
        <v>310926.69329199998</v>
      </c>
      <c r="H20" s="623">
        <f>SUM(H21+H195)</f>
        <v>322231.77600399998</v>
      </c>
    </row>
    <row r="21" spans="1:8" s="55" customFormat="1" ht="16.5" thickBot="1" x14ac:dyDescent="0.3">
      <c r="A21" s="631" t="s">
        <v>24</v>
      </c>
      <c r="B21" s="618"/>
      <c r="C21" s="62"/>
      <c r="D21" s="63"/>
      <c r="E21" s="616"/>
      <c r="F21" s="632">
        <f>F22+F39+F46+F77+F94+F124+F131+F147+F188+F154+F161+F174+F181</f>
        <v>411540.23579000001</v>
      </c>
      <c r="G21" s="632">
        <f>G22+G39+G46+G77+G94+G124+G131+G147+G188+G154+G161+G174+G181</f>
        <v>209427.13945999998</v>
      </c>
      <c r="H21" s="632">
        <f>H22+H39+H46+H77+H94+H124+H131+H147+H188+H154+H161+H174+H181</f>
        <v>207399.45945999998</v>
      </c>
    </row>
    <row r="22" spans="1:8" s="55" customFormat="1" ht="77.25" hidden="1" thickBot="1" x14ac:dyDescent="0.3">
      <c r="A22" s="624" t="s">
        <v>370</v>
      </c>
      <c r="B22" s="59" t="s">
        <v>25</v>
      </c>
      <c r="C22" s="59"/>
      <c r="D22" s="67"/>
      <c r="E22" s="67"/>
      <c r="F22" s="625">
        <f t="shared" ref="F22:H23" si="0">F23</f>
        <v>74019.06</v>
      </c>
      <c r="G22" s="625">
        <f t="shared" si="0"/>
        <v>74019.06</v>
      </c>
      <c r="H22" s="626">
        <f t="shared" si="0"/>
        <v>74019.06</v>
      </c>
    </row>
    <row r="23" spans="1:8" s="55" customFormat="1" ht="27.75" hidden="1" thickBot="1" x14ac:dyDescent="0.3">
      <c r="A23" s="213" t="s">
        <v>232</v>
      </c>
      <c r="B23" s="214" t="s">
        <v>279</v>
      </c>
      <c r="C23" s="214"/>
      <c r="D23" s="70"/>
      <c r="E23" s="70"/>
      <c r="F23" s="71">
        <f t="shared" si="0"/>
        <v>74019.06</v>
      </c>
      <c r="G23" s="71">
        <f t="shared" si="0"/>
        <v>74019.06</v>
      </c>
      <c r="H23" s="72">
        <f t="shared" si="0"/>
        <v>74019.06</v>
      </c>
    </row>
    <row r="24" spans="1:8" s="55" customFormat="1" ht="39" hidden="1" thickBot="1" x14ac:dyDescent="0.3">
      <c r="A24" s="89" t="s">
        <v>280</v>
      </c>
      <c r="B24" s="112" t="s">
        <v>281</v>
      </c>
      <c r="C24" s="112"/>
      <c r="D24" s="112"/>
      <c r="E24" s="112"/>
      <c r="F24" s="73">
        <f>F25+F35</f>
        <v>74019.06</v>
      </c>
      <c r="G24" s="73">
        <f>G25+G35</f>
        <v>74019.06</v>
      </c>
      <c r="H24" s="74">
        <f>H25+H35</f>
        <v>74019.06</v>
      </c>
    </row>
    <row r="25" spans="1:8" s="55" customFormat="1" ht="39" hidden="1" thickBot="1" x14ac:dyDescent="0.3">
      <c r="A25" s="75" t="s">
        <v>26</v>
      </c>
      <c r="B25" s="56" t="s">
        <v>282</v>
      </c>
      <c r="C25" s="56"/>
      <c r="D25" s="76"/>
      <c r="E25" s="76"/>
      <c r="F25" s="3">
        <f>F26+F29+F32</f>
        <v>73269.06</v>
      </c>
      <c r="G25" s="3">
        <f>G26+G29+G32</f>
        <v>73269.06</v>
      </c>
      <c r="H25" s="77">
        <f>H26+H29+H32</f>
        <v>73269.06</v>
      </c>
    </row>
    <row r="26" spans="1:8" s="55" customFormat="1" ht="102.75" hidden="1" thickBot="1" x14ac:dyDescent="0.3">
      <c r="A26" s="75" t="s">
        <v>27</v>
      </c>
      <c r="B26" s="56" t="s">
        <v>282</v>
      </c>
      <c r="C26" s="56">
        <v>100</v>
      </c>
      <c r="D26" s="76"/>
      <c r="E26" s="76"/>
      <c r="F26" s="3">
        <f t="shared" ref="F26:H27" si="1">F27</f>
        <v>33997.06</v>
      </c>
      <c r="G26" s="3">
        <f t="shared" si="1"/>
        <v>33997.06</v>
      </c>
      <c r="H26" s="77">
        <f t="shared" si="1"/>
        <v>33997.06</v>
      </c>
    </row>
    <row r="27" spans="1:8" s="55" customFormat="1" ht="26.25" hidden="1" thickBot="1" x14ac:dyDescent="0.3">
      <c r="A27" s="10" t="s">
        <v>133</v>
      </c>
      <c r="B27" s="56" t="s">
        <v>282</v>
      </c>
      <c r="C27" s="56">
        <v>110</v>
      </c>
      <c r="D27" s="76"/>
      <c r="E27" s="76"/>
      <c r="F27" s="3">
        <f t="shared" si="1"/>
        <v>33997.06</v>
      </c>
      <c r="G27" s="3">
        <f t="shared" si="1"/>
        <v>33997.06</v>
      </c>
      <c r="H27" s="77">
        <f t="shared" si="1"/>
        <v>33997.06</v>
      </c>
    </row>
    <row r="28" spans="1:8" s="55" customFormat="1" ht="16.5" hidden="1" thickBot="1" x14ac:dyDescent="0.3">
      <c r="A28" s="338" t="s">
        <v>28</v>
      </c>
      <c r="B28" s="56" t="s">
        <v>282</v>
      </c>
      <c r="C28" s="56">
        <v>110</v>
      </c>
      <c r="D28" s="76" t="s">
        <v>29</v>
      </c>
      <c r="E28" s="76" t="s">
        <v>30</v>
      </c>
      <c r="F28" s="3">
        <f>пр.4!G300</f>
        <v>33997.06</v>
      </c>
      <c r="G28" s="3">
        <f>пр.4!H300</f>
        <v>33997.06</v>
      </c>
      <c r="H28" s="77">
        <f>пр.4!I300</f>
        <v>33997.06</v>
      </c>
    </row>
    <row r="29" spans="1:8" s="55" customFormat="1" ht="39" hidden="1" thickBot="1" x14ac:dyDescent="0.3">
      <c r="A29" s="75" t="s">
        <v>31</v>
      </c>
      <c r="B29" s="56" t="s">
        <v>282</v>
      </c>
      <c r="C29" s="56">
        <v>200</v>
      </c>
      <c r="D29" s="76"/>
      <c r="E29" s="76"/>
      <c r="F29" s="3">
        <f t="shared" ref="F29:H30" si="2">F30</f>
        <v>39247</v>
      </c>
      <c r="G29" s="3">
        <f t="shared" si="2"/>
        <v>39247</v>
      </c>
      <c r="H29" s="77">
        <f t="shared" si="2"/>
        <v>39247</v>
      </c>
    </row>
    <row r="30" spans="1:8" s="55" customFormat="1" ht="51.75" hidden="1" thickBot="1" x14ac:dyDescent="0.3">
      <c r="A30" s="10" t="s">
        <v>67</v>
      </c>
      <c r="B30" s="56" t="s">
        <v>282</v>
      </c>
      <c r="C30" s="56">
        <v>240</v>
      </c>
      <c r="D30" s="76"/>
      <c r="E30" s="76"/>
      <c r="F30" s="3">
        <f t="shared" si="2"/>
        <v>39247</v>
      </c>
      <c r="G30" s="3">
        <f t="shared" si="2"/>
        <v>39247</v>
      </c>
      <c r="H30" s="77">
        <f t="shared" si="2"/>
        <v>39247</v>
      </c>
    </row>
    <row r="31" spans="1:8" s="55" customFormat="1" ht="16.5" hidden="1" thickBot="1" x14ac:dyDescent="0.3">
      <c r="A31" s="338" t="s">
        <v>28</v>
      </c>
      <c r="B31" s="56" t="s">
        <v>282</v>
      </c>
      <c r="C31" s="56">
        <v>240</v>
      </c>
      <c r="D31" s="76" t="s">
        <v>29</v>
      </c>
      <c r="E31" s="76" t="s">
        <v>30</v>
      </c>
      <c r="F31" s="3">
        <f>пр.4!G302</f>
        <v>39247</v>
      </c>
      <c r="G31" s="3">
        <f>пр.4!H302</f>
        <v>39247</v>
      </c>
      <c r="H31" s="77">
        <f>пр.4!I302</f>
        <v>39247</v>
      </c>
    </row>
    <row r="32" spans="1:8" s="55" customFormat="1" ht="16.5" hidden="1" thickBot="1" x14ac:dyDescent="0.3">
      <c r="A32" s="75" t="s">
        <v>33</v>
      </c>
      <c r="B32" s="56" t="s">
        <v>282</v>
      </c>
      <c r="C32" s="56">
        <v>800</v>
      </c>
      <c r="D32" s="76"/>
      <c r="E32" s="76"/>
      <c r="F32" s="3">
        <f t="shared" ref="F32:H33" si="3">F33</f>
        <v>25</v>
      </c>
      <c r="G32" s="3">
        <f t="shared" si="3"/>
        <v>25</v>
      </c>
      <c r="H32" s="77">
        <f t="shared" si="3"/>
        <v>25</v>
      </c>
    </row>
    <row r="33" spans="1:8" s="55" customFormat="1" ht="26.25" hidden="1" thickBot="1" x14ac:dyDescent="0.3">
      <c r="A33" s="10" t="s">
        <v>76</v>
      </c>
      <c r="B33" s="56" t="s">
        <v>282</v>
      </c>
      <c r="C33" s="56">
        <v>850</v>
      </c>
      <c r="D33" s="76"/>
      <c r="E33" s="76"/>
      <c r="F33" s="3">
        <f t="shared" si="3"/>
        <v>25</v>
      </c>
      <c r="G33" s="3">
        <f t="shared" si="3"/>
        <v>25</v>
      </c>
      <c r="H33" s="77">
        <f t="shared" si="3"/>
        <v>25</v>
      </c>
    </row>
    <row r="34" spans="1:8" s="55" customFormat="1" ht="16.5" hidden="1" thickBot="1" x14ac:dyDescent="0.3">
      <c r="A34" s="338" t="s">
        <v>28</v>
      </c>
      <c r="B34" s="56" t="s">
        <v>282</v>
      </c>
      <c r="C34" s="56">
        <v>850</v>
      </c>
      <c r="D34" s="76" t="s">
        <v>29</v>
      </c>
      <c r="E34" s="76" t="s">
        <v>30</v>
      </c>
      <c r="F34" s="3">
        <f>пр.4!G304</f>
        <v>25</v>
      </c>
      <c r="G34" s="3">
        <f>пр.4!H304</f>
        <v>25</v>
      </c>
      <c r="H34" s="77">
        <f>пр.4!I304</f>
        <v>25</v>
      </c>
    </row>
    <row r="35" spans="1:8" s="55" customFormat="1" ht="39" hidden="1" thickBot="1" x14ac:dyDescent="0.3">
      <c r="A35" s="82" t="s">
        <v>34</v>
      </c>
      <c r="B35" s="5" t="s">
        <v>283</v>
      </c>
      <c r="C35" s="78"/>
      <c r="D35" s="79"/>
      <c r="E35" s="79"/>
      <c r="F35" s="80">
        <f t="shared" ref="F35:H37" si="4">F36</f>
        <v>750</v>
      </c>
      <c r="G35" s="80">
        <f t="shared" si="4"/>
        <v>750</v>
      </c>
      <c r="H35" s="81">
        <f t="shared" si="4"/>
        <v>750</v>
      </c>
    </row>
    <row r="36" spans="1:8" s="55" customFormat="1" ht="39" hidden="1" thickBot="1" x14ac:dyDescent="0.3">
      <c r="A36" s="75" t="s">
        <v>31</v>
      </c>
      <c r="B36" s="5" t="s">
        <v>283</v>
      </c>
      <c r="C36" s="78">
        <v>200</v>
      </c>
      <c r="D36" s="79"/>
      <c r="E36" s="79"/>
      <c r="F36" s="80">
        <f t="shared" si="4"/>
        <v>750</v>
      </c>
      <c r="G36" s="80">
        <f t="shared" si="4"/>
        <v>750</v>
      </c>
      <c r="H36" s="81">
        <f t="shared" si="4"/>
        <v>750</v>
      </c>
    </row>
    <row r="37" spans="1:8" s="55" customFormat="1" ht="51.75" hidden="1" thickBot="1" x14ac:dyDescent="0.3">
      <c r="A37" s="10" t="s">
        <v>67</v>
      </c>
      <c r="B37" s="5" t="s">
        <v>283</v>
      </c>
      <c r="C37" s="78">
        <v>240</v>
      </c>
      <c r="D37" s="79"/>
      <c r="E37" s="79"/>
      <c r="F37" s="80">
        <f t="shared" si="4"/>
        <v>750</v>
      </c>
      <c r="G37" s="80">
        <f t="shared" si="4"/>
        <v>750</v>
      </c>
      <c r="H37" s="81">
        <f t="shared" si="4"/>
        <v>750</v>
      </c>
    </row>
    <row r="38" spans="1:8" s="55" customFormat="1" ht="16.5" hidden="1" thickBot="1" x14ac:dyDescent="0.3">
      <c r="A38" s="339" t="s">
        <v>28</v>
      </c>
      <c r="B38" s="5" t="s">
        <v>283</v>
      </c>
      <c r="C38" s="78">
        <v>240</v>
      </c>
      <c r="D38" s="79" t="s">
        <v>29</v>
      </c>
      <c r="E38" s="79" t="s">
        <v>30</v>
      </c>
      <c r="F38" s="83">
        <f>пр.4!G307</f>
        <v>750</v>
      </c>
      <c r="G38" s="83">
        <f>пр.4!H307</f>
        <v>750</v>
      </c>
      <c r="H38" s="84">
        <f>пр.4!I307</f>
        <v>750</v>
      </c>
    </row>
    <row r="39" spans="1:8" s="55" customFormat="1" ht="32.25" hidden="1" customHeight="1" thickBot="1" x14ac:dyDescent="0.3">
      <c r="A39" s="95" t="s">
        <v>371</v>
      </c>
      <c r="B39" s="96" t="s">
        <v>38</v>
      </c>
      <c r="C39" s="96"/>
      <c r="D39" s="97"/>
      <c r="E39" s="97"/>
      <c r="F39" s="68">
        <f>F40</f>
        <v>2383.92</v>
      </c>
      <c r="G39" s="68">
        <f>G40</f>
        <v>1330.9490000000001</v>
      </c>
      <c r="H39" s="69">
        <f>H40</f>
        <v>0</v>
      </c>
    </row>
    <row r="40" spans="1:8" s="55" customFormat="1" ht="16.5" hidden="1" thickBot="1" x14ac:dyDescent="0.3">
      <c r="A40" s="185" t="s">
        <v>410</v>
      </c>
      <c r="B40" s="186" t="s">
        <v>338</v>
      </c>
      <c r="C40" s="309"/>
      <c r="D40" s="310"/>
      <c r="E40" s="310"/>
      <c r="F40" s="110">
        <f t="shared" ref="F40:H41" si="5">F41</f>
        <v>2383.92</v>
      </c>
      <c r="G40" s="110">
        <f t="shared" si="5"/>
        <v>1330.9490000000001</v>
      </c>
      <c r="H40" s="111">
        <f t="shared" si="5"/>
        <v>0</v>
      </c>
    </row>
    <row r="41" spans="1:8" s="55" customFormat="1" ht="51.75" hidden="1" thickBot="1" x14ac:dyDescent="0.3">
      <c r="A41" s="89" t="s">
        <v>339</v>
      </c>
      <c r="B41" s="112" t="s">
        <v>342</v>
      </c>
      <c r="C41" s="103"/>
      <c r="D41" s="103"/>
      <c r="E41" s="103"/>
      <c r="F41" s="73">
        <f t="shared" si="5"/>
        <v>2383.92</v>
      </c>
      <c r="G41" s="73">
        <f t="shared" si="5"/>
        <v>1330.9490000000001</v>
      </c>
      <c r="H41" s="74">
        <f t="shared" si="5"/>
        <v>0</v>
      </c>
    </row>
    <row r="42" spans="1:8" s="55" customFormat="1" ht="26.25" hidden="1" thickBot="1" x14ac:dyDescent="0.3">
      <c r="A42" s="9" t="s">
        <v>340</v>
      </c>
      <c r="B42" s="5" t="s">
        <v>341</v>
      </c>
      <c r="C42" s="4"/>
      <c r="D42" s="4"/>
      <c r="E42" s="1"/>
      <c r="F42" s="3">
        <f>F45</f>
        <v>2383.92</v>
      </c>
      <c r="G42" s="3">
        <f>G45</f>
        <v>1330.9490000000001</v>
      </c>
      <c r="H42" s="77">
        <f>H45</f>
        <v>0</v>
      </c>
    </row>
    <row r="43" spans="1:8" s="55" customFormat="1" ht="27" hidden="1" thickBot="1" x14ac:dyDescent="0.3">
      <c r="A43" s="340" t="s">
        <v>39</v>
      </c>
      <c r="B43" s="5" t="s">
        <v>341</v>
      </c>
      <c r="C43" s="4">
        <v>300</v>
      </c>
      <c r="D43" s="4"/>
      <c r="E43" s="4"/>
      <c r="F43" s="3">
        <f t="shared" ref="F43:H44" si="6">F44</f>
        <v>2383.92</v>
      </c>
      <c r="G43" s="3">
        <f t="shared" si="6"/>
        <v>1330.9490000000001</v>
      </c>
      <c r="H43" s="77">
        <f t="shared" si="6"/>
        <v>0</v>
      </c>
    </row>
    <row r="44" spans="1:8" s="55" customFormat="1" ht="52.5" hidden="1" thickBot="1" x14ac:dyDescent="0.3">
      <c r="A44" s="99" t="s">
        <v>135</v>
      </c>
      <c r="B44" s="5" t="s">
        <v>341</v>
      </c>
      <c r="C44" s="4">
        <v>320</v>
      </c>
      <c r="D44" s="4"/>
      <c r="E44" s="4"/>
      <c r="F44" s="3">
        <f t="shared" si="6"/>
        <v>2383.92</v>
      </c>
      <c r="G44" s="3">
        <f t="shared" si="6"/>
        <v>1330.9490000000001</v>
      </c>
      <c r="H44" s="77">
        <f t="shared" si="6"/>
        <v>0</v>
      </c>
    </row>
    <row r="45" spans="1:8" s="55" customFormat="1" ht="16.5" hidden="1" thickBot="1" x14ac:dyDescent="0.3">
      <c r="A45" s="342" t="s">
        <v>214</v>
      </c>
      <c r="B45" s="105" t="s">
        <v>341</v>
      </c>
      <c r="C45" s="106">
        <v>320</v>
      </c>
      <c r="D45" s="107" t="s">
        <v>118</v>
      </c>
      <c r="E45" s="107" t="s">
        <v>36</v>
      </c>
      <c r="F45" s="93">
        <f>пр.4!G292</f>
        <v>2383.92</v>
      </c>
      <c r="G45" s="93">
        <f>пр.4!H292</f>
        <v>1330.9490000000001</v>
      </c>
      <c r="H45" s="94">
        <f>пр.4!I292</f>
        <v>0</v>
      </c>
    </row>
    <row r="46" spans="1:8" s="55" customFormat="1" ht="64.5" hidden="1" thickBot="1" x14ac:dyDescent="0.3">
      <c r="A46" s="66" t="s">
        <v>372</v>
      </c>
      <c r="B46" s="59" t="s">
        <v>41</v>
      </c>
      <c r="C46" s="59"/>
      <c r="D46" s="67"/>
      <c r="E46" s="67"/>
      <c r="F46" s="68">
        <f>F47</f>
        <v>71959.808160000015</v>
      </c>
      <c r="G46" s="68">
        <f>G47</f>
        <v>61226.976860000002</v>
      </c>
      <c r="H46" s="69">
        <f>H47</f>
        <v>60998.054859999997</v>
      </c>
    </row>
    <row r="47" spans="1:8" s="55" customFormat="1" ht="27.75" hidden="1" thickBot="1" x14ac:dyDescent="0.3">
      <c r="A47" s="185" t="s">
        <v>232</v>
      </c>
      <c r="B47" s="186" t="s">
        <v>233</v>
      </c>
      <c r="C47" s="108"/>
      <c r="D47" s="311"/>
      <c r="E47" s="311"/>
      <c r="F47" s="110">
        <f>F48+F53+F58</f>
        <v>71959.808160000015</v>
      </c>
      <c r="G47" s="110">
        <f>G48+G53+G58</f>
        <v>61226.976860000002</v>
      </c>
      <c r="H47" s="111">
        <f>H48+H53+H58</f>
        <v>60998.054859999997</v>
      </c>
    </row>
    <row r="48" spans="1:8" s="55" customFormat="1" ht="51.75" hidden="1" thickBot="1" x14ac:dyDescent="0.3">
      <c r="A48" s="89" t="s">
        <v>234</v>
      </c>
      <c r="B48" s="112" t="s">
        <v>235</v>
      </c>
      <c r="C48" s="87"/>
      <c r="D48" s="88"/>
      <c r="E48" s="88"/>
      <c r="F48" s="73">
        <f>F52</f>
        <v>1100</v>
      </c>
      <c r="G48" s="73">
        <f>G49</f>
        <v>1100</v>
      </c>
      <c r="H48" s="74">
        <f>H49</f>
        <v>1100</v>
      </c>
    </row>
    <row r="49" spans="1:8" s="55" customFormat="1" ht="26.25" hidden="1" thickBot="1" x14ac:dyDescent="0.3">
      <c r="A49" s="9" t="s">
        <v>42</v>
      </c>
      <c r="B49" s="5" t="s">
        <v>236</v>
      </c>
      <c r="C49" s="56"/>
      <c r="D49" s="76"/>
      <c r="E49" s="76"/>
      <c r="F49" s="3">
        <f t="shared" ref="F49:H51" si="7">F50</f>
        <v>1100</v>
      </c>
      <c r="G49" s="3">
        <f t="shared" si="7"/>
        <v>1100</v>
      </c>
      <c r="H49" s="77">
        <f t="shared" si="7"/>
        <v>1100</v>
      </c>
    </row>
    <row r="50" spans="1:8" s="55" customFormat="1" ht="39" hidden="1" thickBot="1" x14ac:dyDescent="0.3">
      <c r="A50" s="9" t="s">
        <v>31</v>
      </c>
      <c r="B50" s="5" t="s">
        <v>236</v>
      </c>
      <c r="C50" s="56">
        <v>200</v>
      </c>
      <c r="D50" s="76"/>
      <c r="E50" s="76"/>
      <c r="F50" s="3">
        <f t="shared" si="7"/>
        <v>1100</v>
      </c>
      <c r="G50" s="3">
        <f t="shared" si="7"/>
        <v>1100</v>
      </c>
      <c r="H50" s="77">
        <f t="shared" si="7"/>
        <v>1100</v>
      </c>
    </row>
    <row r="51" spans="1:8" s="55" customFormat="1" ht="51.75" hidden="1" thickBot="1" x14ac:dyDescent="0.3">
      <c r="A51" s="10" t="s">
        <v>67</v>
      </c>
      <c r="B51" s="5" t="s">
        <v>236</v>
      </c>
      <c r="C51" s="56">
        <v>240</v>
      </c>
      <c r="D51" s="76"/>
      <c r="E51" s="76"/>
      <c r="F51" s="3">
        <f t="shared" si="7"/>
        <v>1100</v>
      </c>
      <c r="G51" s="3">
        <f t="shared" si="7"/>
        <v>1100</v>
      </c>
      <c r="H51" s="77">
        <f t="shared" si="7"/>
        <v>1100</v>
      </c>
    </row>
    <row r="52" spans="1:8" s="55" customFormat="1" ht="26.25" hidden="1" thickBot="1" x14ac:dyDescent="0.3">
      <c r="A52" s="338" t="s">
        <v>296</v>
      </c>
      <c r="B52" s="5" t="s">
        <v>236</v>
      </c>
      <c r="C52" s="56">
        <v>240</v>
      </c>
      <c r="D52" s="76" t="s">
        <v>43</v>
      </c>
      <c r="E52" s="76" t="s">
        <v>49</v>
      </c>
      <c r="F52" s="3">
        <f>пр.4!G254</f>
        <v>1100</v>
      </c>
      <c r="G52" s="3">
        <f>пр.4!H254</f>
        <v>1100</v>
      </c>
      <c r="H52" s="77">
        <f>пр.4!I254</f>
        <v>1100</v>
      </c>
    </row>
    <row r="53" spans="1:8" s="55" customFormat="1" ht="51.75" hidden="1" thickBot="1" x14ac:dyDescent="0.3">
      <c r="A53" s="89" t="s">
        <v>237</v>
      </c>
      <c r="B53" s="112" t="s">
        <v>238</v>
      </c>
      <c r="C53" s="87"/>
      <c r="D53" s="88"/>
      <c r="E53" s="88"/>
      <c r="F53" s="73">
        <f>SUM(F56)</f>
        <v>763.1</v>
      </c>
      <c r="G53" s="73">
        <f>SUM(G56)</f>
        <v>563.1</v>
      </c>
      <c r="H53" s="74">
        <f>SUM(H56)</f>
        <v>563.1</v>
      </c>
    </row>
    <row r="54" spans="1:8" s="55" customFormat="1" ht="26.25" hidden="1" thickBot="1" x14ac:dyDescent="0.3">
      <c r="A54" s="9" t="s">
        <v>44</v>
      </c>
      <c r="B54" s="5" t="s">
        <v>239</v>
      </c>
      <c r="C54" s="56"/>
      <c r="D54" s="76"/>
      <c r="E54" s="76"/>
      <c r="F54" s="3">
        <f>F57</f>
        <v>763.1</v>
      </c>
      <c r="G54" s="3">
        <f>G57</f>
        <v>563.1</v>
      </c>
      <c r="H54" s="77">
        <f>H57</f>
        <v>563.1</v>
      </c>
    </row>
    <row r="55" spans="1:8" s="55" customFormat="1" ht="39" hidden="1" thickBot="1" x14ac:dyDescent="0.3">
      <c r="A55" s="9" t="s">
        <v>31</v>
      </c>
      <c r="B55" s="5" t="s">
        <v>239</v>
      </c>
      <c r="C55" s="56">
        <v>200</v>
      </c>
      <c r="D55" s="76"/>
      <c r="E55" s="76"/>
      <c r="F55" s="3">
        <f t="shared" ref="F55:H56" si="8">F56</f>
        <v>763.1</v>
      </c>
      <c r="G55" s="3">
        <f t="shared" si="8"/>
        <v>563.1</v>
      </c>
      <c r="H55" s="77">
        <f t="shared" si="8"/>
        <v>563.1</v>
      </c>
    </row>
    <row r="56" spans="1:8" s="55" customFormat="1" ht="51.75" hidden="1" thickBot="1" x14ac:dyDescent="0.3">
      <c r="A56" s="10" t="s">
        <v>67</v>
      </c>
      <c r="B56" s="5" t="s">
        <v>239</v>
      </c>
      <c r="C56" s="56">
        <v>240</v>
      </c>
      <c r="D56" s="76"/>
      <c r="E56" s="76"/>
      <c r="F56" s="3">
        <f t="shared" si="8"/>
        <v>763.1</v>
      </c>
      <c r="G56" s="3">
        <f t="shared" si="8"/>
        <v>563.1</v>
      </c>
      <c r="H56" s="77">
        <f t="shared" si="8"/>
        <v>563.1</v>
      </c>
    </row>
    <row r="57" spans="1:8" s="55" customFormat="1" ht="16.5" hidden="1" thickBot="1" x14ac:dyDescent="0.3">
      <c r="A57" s="338" t="s">
        <v>150</v>
      </c>
      <c r="B57" s="5" t="s">
        <v>239</v>
      </c>
      <c r="C57" s="56">
        <v>240</v>
      </c>
      <c r="D57" s="76" t="s">
        <v>43</v>
      </c>
      <c r="E57" s="76" t="s">
        <v>43</v>
      </c>
      <c r="F57" s="3">
        <f>пр.4!G247</f>
        <v>763.1</v>
      </c>
      <c r="G57" s="3">
        <f>пр.4!H247</f>
        <v>563.1</v>
      </c>
      <c r="H57" s="77">
        <f>пр.4!I247</f>
        <v>563.1</v>
      </c>
    </row>
    <row r="58" spans="1:8" s="55" customFormat="1" ht="51.75" hidden="1" thickBot="1" x14ac:dyDescent="0.3">
      <c r="A58" s="89" t="s">
        <v>240</v>
      </c>
      <c r="B58" s="112" t="s">
        <v>241</v>
      </c>
      <c r="C58" s="56"/>
      <c r="D58" s="76"/>
      <c r="E58" s="76"/>
      <c r="F58" s="3">
        <f>F59+F73+F69</f>
        <v>70096.708160000009</v>
      </c>
      <c r="G58" s="3">
        <f>G59+G73+G69</f>
        <v>59563.876860000004</v>
      </c>
      <c r="H58" s="3">
        <f>H59+H73+H69</f>
        <v>59334.954859999998</v>
      </c>
    </row>
    <row r="59" spans="1:8" s="55" customFormat="1" ht="39" hidden="1" thickBot="1" x14ac:dyDescent="0.3">
      <c r="A59" s="9" t="s">
        <v>335</v>
      </c>
      <c r="B59" s="56" t="s">
        <v>242</v>
      </c>
      <c r="C59" s="56"/>
      <c r="D59" s="76"/>
      <c r="E59" s="76"/>
      <c r="F59" s="3">
        <f>F60+F63+F66</f>
        <v>51062.708160000009</v>
      </c>
      <c r="G59" s="3">
        <f>G60+G63+G66</f>
        <v>41544.876860000004</v>
      </c>
      <c r="H59" s="77">
        <f>H60+H63+H66</f>
        <v>41315.954859999998</v>
      </c>
    </row>
    <row r="60" spans="1:8" s="55" customFormat="1" ht="102.75" hidden="1" thickBot="1" x14ac:dyDescent="0.3">
      <c r="A60" s="75" t="s">
        <v>27</v>
      </c>
      <c r="B60" s="56" t="s">
        <v>242</v>
      </c>
      <c r="C60" s="56">
        <v>100</v>
      </c>
      <c r="D60" s="76"/>
      <c r="E60" s="76"/>
      <c r="F60" s="3">
        <f t="shared" ref="F60:H61" si="9">F61</f>
        <v>33933.431000000004</v>
      </c>
      <c r="G60" s="3">
        <f t="shared" si="9"/>
        <v>31536.808000000001</v>
      </c>
      <c r="H60" s="77">
        <f t="shared" si="9"/>
        <v>31536.808000000001</v>
      </c>
    </row>
    <row r="61" spans="1:8" s="55" customFormat="1" ht="26.25" hidden="1" thickBot="1" x14ac:dyDescent="0.3">
      <c r="A61" s="10" t="s">
        <v>133</v>
      </c>
      <c r="B61" s="5" t="s">
        <v>242</v>
      </c>
      <c r="C61" s="56">
        <v>110</v>
      </c>
      <c r="D61" s="76"/>
      <c r="E61" s="76"/>
      <c r="F61" s="3">
        <f t="shared" si="9"/>
        <v>33933.431000000004</v>
      </c>
      <c r="G61" s="3">
        <f t="shared" si="9"/>
        <v>31536.808000000001</v>
      </c>
      <c r="H61" s="77">
        <f t="shared" si="9"/>
        <v>31536.808000000001</v>
      </c>
    </row>
    <row r="62" spans="1:8" s="55" customFormat="1" ht="16.5" hidden="1" thickBot="1" x14ac:dyDescent="0.3">
      <c r="A62" s="338" t="s">
        <v>45</v>
      </c>
      <c r="B62" s="5" t="s">
        <v>242</v>
      </c>
      <c r="C62" s="56">
        <v>110</v>
      </c>
      <c r="D62" s="76" t="s">
        <v>46</v>
      </c>
      <c r="E62" s="76" t="s">
        <v>30</v>
      </c>
      <c r="F62" s="3">
        <f>пр.4!G262</f>
        <v>33933.431000000004</v>
      </c>
      <c r="G62" s="3">
        <f>пр.4!H262</f>
        <v>31536.808000000001</v>
      </c>
      <c r="H62" s="77">
        <f>пр.4!I262</f>
        <v>31536.808000000001</v>
      </c>
    </row>
    <row r="63" spans="1:8" s="55" customFormat="1" ht="39" hidden="1" thickBot="1" x14ac:dyDescent="0.3">
      <c r="A63" s="75" t="s">
        <v>31</v>
      </c>
      <c r="B63" s="5" t="s">
        <v>242</v>
      </c>
      <c r="C63" s="56">
        <v>200</v>
      </c>
      <c r="D63" s="76"/>
      <c r="E63" s="76"/>
      <c r="F63" s="3">
        <f t="shared" ref="F63:H64" si="10">F64</f>
        <v>17075.277160000001</v>
      </c>
      <c r="G63" s="3">
        <f t="shared" si="10"/>
        <v>9964.0688600000012</v>
      </c>
      <c r="H63" s="77">
        <f t="shared" si="10"/>
        <v>9735.1468599999989</v>
      </c>
    </row>
    <row r="64" spans="1:8" s="55" customFormat="1" ht="51.75" hidden="1" thickBot="1" x14ac:dyDescent="0.3">
      <c r="A64" s="10" t="s">
        <v>67</v>
      </c>
      <c r="B64" s="5" t="s">
        <v>242</v>
      </c>
      <c r="C64" s="56">
        <v>240</v>
      </c>
      <c r="D64" s="76"/>
      <c r="E64" s="76"/>
      <c r="F64" s="3">
        <f t="shared" si="10"/>
        <v>17075.277160000001</v>
      </c>
      <c r="G64" s="3">
        <f t="shared" si="10"/>
        <v>9964.0688600000012</v>
      </c>
      <c r="H64" s="77">
        <f t="shared" si="10"/>
        <v>9735.1468599999989</v>
      </c>
    </row>
    <row r="65" spans="1:8" s="55" customFormat="1" ht="16.5" hidden="1" thickBot="1" x14ac:dyDescent="0.3">
      <c r="A65" s="338" t="s">
        <v>45</v>
      </c>
      <c r="B65" s="5" t="s">
        <v>242</v>
      </c>
      <c r="C65" s="56">
        <v>240</v>
      </c>
      <c r="D65" s="76" t="s">
        <v>46</v>
      </c>
      <c r="E65" s="76" t="s">
        <v>30</v>
      </c>
      <c r="F65" s="3">
        <f>пр.4!G264</f>
        <v>17075.277160000001</v>
      </c>
      <c r="G65" s="3">
        <f>пр.4!H264</f>
        <v>9964.0688600000012</v>
      </c>
      <c r="H65" s="77">
        <f>пр.4!I264</f>
        <v>9735.1468599999989</v>
      </c>
    </row>
    <row r="66" spans="1:8" s="55" customFormat="1" ht="16.5" hidden="1" thickBot="1" x14ac:dyDescent="0.3">
      <c r="A66" s="75" t="s">
        <v>33</v>
      </c>
      <c r="B66" s="5" t="s">
        <v>242</v>
      </c>
      <c r="C66" s="56">
        <v>800</v>
      </c>
      <c r="D66" s="76"/>
      <c r="E66" s="76"/>
      <c r="F66" s="3">
        <f t="shared" ref="F66:H67" si="11">F67</f>
        <v>54</v>
      </c>
      <c r="G66" s="3">
        <f t="shared" si="11"/>
        <v>44</v>
      </c>
      <c r="H66" s="77">
        <f t="shared" si="11"/>
        <v>44</v>
      </c>
    </row>
    <row r="67" spans="1:8" s="55" customFormat="1" ht="26.25" hidden="1" thickBot="1" x14ac:dyDescent="0.3">
      <c r="A67" s="10" t="s">
        <v>76</v>
      </c>
      <c r="B67" s="5" t="s">
        <v>242</v>
      </c>
      <c r="C67" s="56">
        <v>850</v>
      </c>
      <c r="D67" s="76"/>
      <c r="E67" s="76"/>
      <c r="F67" s="3">
        <f t="shared" si="11"/>
        <v>54</v>
      </c>
      <c r="G67" s="3">
        <f t="shared" si="11"/>
        <v>44</v>
      </c>
      <c r="H67" s="77">
        <f t="shared" si="11"/>
        <v>44</v>
      </c>
    </row>
    <row r="68" spans="1:8" s="55" customFormat="1" ht="16.5" hidden="1" thickBot="1" x14ac:dyDescent="0.3">
      <c r="A68" s="338" t="s">
        <v>45</v>
      </c>
      <c r="B68" s="5" t="s">
        <v>242</v>
      </c>
      <c r="C68" s="56">
        <v>850</v>
      </c>
      <c r="D68" s="76" t="s">
        <v>46</v>
      </c>
      <c r="E68" s="76" t="s">
        <v>30</v>
      </c>
      <c r="F68" s="3">
        <f>пр.4!G266</f>
        <v>54</v>
      </c>
      <c r="G68" s="3">
        <f>пр.4!H266</f>
        <v>44</v>
      </c>
      <c r="H68" s="77">
        <f>пр.4!I266</f>
        <v>44</v>
      </c>
    </row>
    <row r="69" spans="1:8" s="55" customFormat="1" ht="26.25" hidden="1" thickBot="1" x14ac:dyDescent="0.3">
      <c r="A69" s="75" t="s">
        <v>47</v>
      </c>
      <c r="B69" s="5" t="s">
        <v>244</v>
      </c>
      <c r="C69" s="87"/>
      <c r="D69" s="88"/>
      <c r="E69" s="88"/>
      <c r="F69" s="3">
        <f t="shared" ref="F69:H71" si="12">F70</f>
        <v>6088.2000000000007</v>
      </c>
      <c r="G69" s="3">
        <f t="shared" si="12"/>
        <v>5073.2000000000007</v>
      </c>
      <c r="H69" s="77">
        <f t="shared" si="12"/>
        <v>5073.2000000000007</v>
      </c>
    </row>
    <row r="70" spans="1:8" s="55" customFormat="1" ht="39" hidden="1" thickBot="1" x14ac:dyDescent="0.3">
      <c r="A70" s="75" t="s">
        <v>31</v>
      </c>
      <c r="B70" s="5" t="s">
        <v>244</v>
      </c>
      <c r="C70" s="56">
        <v>200</v>
      </c>
      <c r="D70" s="88"/>
      <c r="E70" s="88"/>
      <c r="F70" s="3">
        <f t="shared" si="12"/>
        <v>6088.2000000000007</v>
      </c>
      <c r="G70" s="3">
        <f t="shared" si="12"/>
        <v>5073.2000000000007</v>
      </c>
      <c r="H70" s="77">
        <f t="shared" si="12"/>
        <v>5073.2000000000007</v>
      </c>
    </row>
    <row r="71" spans="1:8" s="55" customFormat="1" ht="51.75" hidden="1" thickBot="1" x14ac:dyDescent="0.3">
      <c r="A71" s="10" t="s">
        <v>67</v>
      </c>
      <c r="B71" s="5" t="s">
        <v>244</v>
      </c>
      <c r="C71" s="56">
        <v>240</v>
      </c>
      <c r="D71" s="76"/>
      <c r="E71" s="76"/>
      <c r="F71" s="3">
        <f t="shared" si="12"/>
        <v>6088.2000000000007</v>
      </c>
      <c r="G71" s="3">
        <f t="shared" si="12"/>
        <v>5073.2000000000007</v>
      </c>
      <c r="H71" s="77">
        <f t="shared" si="12"/>
        <v>5073.2000000000007</v>
      </c>
    </row>
    <row r="72" spans="1:8" s="55" customFormat="1" ht="16.5" hidden="1" thickBot="1" x14ac:dyDescent="0.3">
      <c r="A72" s="338" t="s">
        <v>45</v>
      </c>
      <c r="B72" s="5" t="s">
        <v>244</v>
      </c>
      <c r="C72" s="56">
        <v>240</v>
      </c>
      <c r="D72" s="76" t="s">
        <v>46</v>
      </c>
      <c r="E72" s="76" t="s">
        <v>30</v>
      </c>
      <c r="F72" s="3">
        <f>пр.4!G269</f>
        <v>6088.2000000000007</v>
      </c>
      <c r="G72" s="3">
        <f>пр.4!H269</f>
        <v>5073.2000000000007</v>
      </c>
      <c r="H72" s="77">
        <f>пр.4!I269</f>
        <v>5073.2000000000007</v>
      </c>
    </row>
    <row r="73" spans="1:8" s="55" customFormat="1" ht="115.5" hidden="1" thickBot="1" x14ac:dyDescent="0.3">
      <c r="A73" s="75" t="s">
        <v>430</v>
      </c>
      <c r="B73" s="5" t="s">
        <v>243</v>
      </c>
      <c r="C73" s="56"/>
      <c r="D73" s="76"/>
      <c r="E73" s="76"/>
      <c r="F73" s="3">
        <f t="shared" ref="F73:H75" si="13">F74</f>
        <v>12945.800000000001</v>
      </c>
      <c r="G73" s="3">
        <f t="shared" si="13"/>
        <v>12945.800000000001</v>
      </c>
      <c r="H73" s="77">
        <f t="shared" si="13"/>
        <v>12945.800000000001</v>
      </c>
    </row>
    <row r="74" spans="1:8" s="55" customFormat="1" ht="102.75" hidden="1" thickBot="1" x14ac:dyDescent="0.3">
      <c r="A74" s="75" t="s">
        <v>27</v>
      </c>
      <c r="B74" s="5" t="s">
        <v>243</v>
      </c>
      <c r="C74" s="56">
        <v>100</v>
      </c>
      <c r="D74" s="76"/>
      <c r="E74" s="76"/>
      <c r="F74" s="3">
        <f t="shared" si="13"/>
        <v>12945.800000000001</v>
      </c>
      <c r="G74" s="3">
        <f t="shared" si="13"/>
        <v>12945.800000000001</v>
      </c>
      <c r="H74" s="77">
        <f t="shared" si="13"/>
        <v>12945.800000000001</v>
      </c>
    </row>
    <row r="75" spans="1:8" s="55" customFormat="1" ht="26.25" hidden="1" thickBot="1" x14ac:dyDescent="0.3">
      <c r="A75" s="10" t="s">
        <v>133</v>
      </c>
      <c r="B75" s="5" t="s">
        <v>243</v>
      </c>
      <c r="C75" s="56">
        <v>110</v>
      </c>
      <c r="D75" s="76"/>
      <c r="E75" s="76"/>
      <c r="F75" s="3">
        <f t="shared" si="13"/>
        <v>12945.800000000001</v>
      </c>
      <c r="G75" s="3">
        <f t="shared" si="13"/>
        <v>12945.800000000001</v>
      </c>
      <c r="H75" s="77">
        <f t="shared" si="13"/>
        <v>12945.800000000001</v>
      </c>
    </row>
    <row r="76" spans="1:8" s="55" customFormat="1" ht="16.5" hidden="1" thickBot="1" x14ac:dyDescent="0.3">
      <c r="A76" s="338" t="s">
        <v>45</v>
      </c>
      <c r="B76" s="5" t="s">
        <v>243</v>
      </c>
      <c r="C76" s="56">
        <v>110</v>
      </c>
      <c r="D76" s="76" t="s">
        <v>46</v>
      </c>
      <c r="E76" s="76" t="s">
        <v>30</v>
      </c>
      <c r="F76" s="3">
        <f>пр.4!G272</f>
        <v>12945.800000000001</v>
      </c>
      <c r="G76" s="3">
        <f>пр.4!H272</f>
        <v>12945.800000000001</v>
      </c>
      <c r="H76" s="77">
        <f>пр.4!I272</f>
        <v>12945.800000000001</v>
      </c>
    </row>
    <row r="77" spans="1:8" s="55" customFormat="1" ht="64.5" hidden="1" thickBot="1" x14ac:dyDescent="0.3">
      <c r="A77" s="66" t="s">
        <v>373</v>
      </c>
      <c r="B77" s="59" t="s">
        <v>48</v>
      </c>
      <c r="C77" s="59"/>
      <c r="D77" s="67"/>
      <c r="E77" s="67"/>
      <c r="F77" s="68">
        <f>F78</f>
        <v>12370</v>
      </c>
      <c r="G77" s="68">
        <f>G78</f>
        <v>1246</v>
      </c>
      <c r="H77" s="69">
        <f>H78</f>
        <v>1246</v>
      </c>
    </row>
    <row r="78" spans="1:8" s="55" customFormat="1" ht="27.75" hidden="1" thickBot="1" x14ac:dyDescent="0.3">
      <c r="A78" s="185" t="s">
        <v>232</v>
      </c>
      <c r="B78" s="186" t="s">
        <v>245</v>
      </c>
      <c r="C78" s="108"/>
      <c r="D78" s="109"/>
      <c r="E78" s="109"/>
      <c r="F78" s="110">
        <f>F79+F84+F89</f>
        <v>12370</v>
      </c>
      <c r="G78" s="110">
        <f>G79+G84+G89</f>
        <v>1246</v>
      </c>
      <c r="H78" s="111">
        <f>H79+H84+H89</f>
        <v>1246</v>
      </c>
    </row>
    <row r="79" spans="1:8" s="55" customFormat="1" ht="90" hidden="1" thickBot="1" x14ac:dyDescent="0.3">
      <c r="A79" s="89" t="s">
        <v>246</v>
      </c>
      <c r="B79" s="112" t="s">
        <v>247</v>
      </c>
      <c r="C79" s="87"/>
      <c r="D79" s="88"/>
      <c r="E79" s="88"/>
      <c r="F79" s="73">
        <f>F80</f>
        <v>3200</v>
      </c>
      <c r="G79" s="73">
        <f>G80</f>
        <v>786</v>
      </c>
      <c r="H79" s="74">
        <f>H80</f>
        <v>786</v>
      </c>
    </row>
    <row r="80" spans="1:8" s="55" customFormat="1" ht="77.25" hidden="1" thickBot="1" x14ac:dyDescent="0.3">
      <c r="A80" s="9" t="s">
        <v>414</v>
      </c>
      <c r="B80" s="5" t="s">
        <v>248</v>
      </c>
      <c r="C80" s="87"/>
      <c r="D80" s="88"/>
      <c r="E80" s="88"/>
      <c r="F80" s="3">
        <f>F82</f>
        <v>3200</v>
      </c>
      <c r="G80" s="3">
        <f>G82</f>
        <v>786</v>
      </c>
      <c r="H80" s="77">
        <f>H82</f>
        <v>786</v>
      </c>
    </row>
    <row r="81" spans="1:8" s="55" customFormat="1" ht="39" hidden="1" thickBot="1" x14ac:dyDescent="0.3">
      <c r="A81" s="75" t="s">
        <v>31</v>
      </c>
      <c r="B81" s="5" t="s">
        <v>248</v>
      </c>
      <c r="C81" s="56">
        <v>200</v>
      </c>
      <c r="D81" s="88"/>
      <c r="E81" s="88"/>
      <c r="F81" s="3">
        <f t="shared" ref="F81:H82" si="14">F82</f>
        <v>3200</v>
      </c>
      <c r="G81" s="3">
        <f t="shared" si="14"/>
        <v>786</v>
      </c>
      <c r="H81" s="77">
        <f t="shared" si="14"/>
        <v>786</v>
      </c>
    </row>
    <row r="82" spans="1:8" s="55" customFormat="1" ht="51.75" hidden="1" thickBot="1" x14ac:dyDescent="0.3">
      <c r="A82" s="10" t="s">
        <v>67</v>
      </c>
      <c r="B82" s="5" t="s">
        <v>248</v>
      </c>
      <c r="C82" s="56">
        <v>240</v>
      </c>
      <c r="D82" s="76"/>
      <c r="E82" s="76"/>
      <c r="F82" s="3">
        <f t="shared" si="14"/>
        <v>3200</v>
      </c>
      <c r="G82" s="3">
        <f t="shared" si="14"/>
        <v>786</v>
      </c>
      <c r="H82" s="77">
        <f t="shared" si="14"/>
        <v>786</v>
      </c>
    </row>
    <row r="83" spans="1:8" s="55" customFormat="1" ht="15" hidden="1" customHeight="1" x14ac:dyDescent="0.25">
      <c r="A83" s="10" t="s">
        <v>295</v>
      </c>
      <c r="B83" s="5" t="s">
        <v>248</v>
      </c>
      <c r="C83" s="4">
        <v>240</v>
      </c>
      <c r="D83" s="1" t="s">
        <v>40</v>
      </c>
      <c r="E83" s="1" t="s">
        <v>118</v>
      </c>
      <c r="F83" s="3">
        <f>пр.4!G93</f>
        <v>3200</v>
      </c>
      <c r="G83" s="3">
        <f>пр.4!H93</f>
        <v>786</v>
      </c>
      <c r="H83" s="77">
        <f>пр.4!I93</f>
        <v>786</v>
      </c>
    </row>
    <row r="84" spans="1:8" s="55" customFormat="1" ht="15" hidden="1" customHeight="1" x14ac:dyDescent="0.25">
      <c r="A84" s="89" t="s">
        <v>418</v>
      </c>
      <c r="B84" s="112" t="s">
        <v>249</v>
      </c>
      <c r="C84" s="103"/>
      <c r="D84" s="104"/>
      <c r="E84" s="104"/>
      <c r="F84" s="73">
        <f t="shared" ref="F84:H87" si="15">F85</f>
        <v>2570</v>
      </c>
      <c r="G84" s="73">
        <f t="shared" si="15"/>
        <v>460</v>
      </c>
      <c r="H84" s="74">
        <f t="shared" si="15"/>
        <v>460</v>
      </c>
    </row>
    <row r="85" spans="1:8" s="55" customFormat="1" ht="26.25" hidden="1" thickBot="1" x14ac:dyDescent="0.3">
      <c r="A85" s="9" t="s">
        <v>50</v>
      </c>
      <c r="B85" s="5" t="s">
        <v>250</v>
      </c>
      <c r="C85" s="4"/>
      <c r="D85" s="1"/>
      <c r="E85" s="1"/>
      <c r="F85" s="3">
        <f t="shared" si="15"/>
        <v>2570</v>
      </c>
      <c r="G85" s="3">
        <f t="shared" si="15"/>
        <v>460</v>
      </c>
      <c r="H85" s="77">
        <f t="shared" si="15"/>
        <v>460</v>
      </c>
    </row>
    <row r="86" spans="1:8" s="55" customFormat="1" ht="39" hidden="1" thickBot="1" x14ac:dyDescent="0.3">
      <c r="A86" s="86" t="s">
        <v>31</v>
      </c>
      <c r="B86" s="5" t="s">
        <v>250</v>
      </c>
      <c r="C86" s="4">
        <v>200</v>
      </c>
      <c r="D86" s="1"/>
      <c r="E86" s="1"/>
      <c r="F86" s="3">
        <f t="shared" si="15"/>
        <v>2570</v>
      </c>
      <c r="G86" s="3">
        <f t="shared" si="15"/>
        <v>460</v>
      </c>
      <c r="H86" s="77">
        <f t="shared" si="15"/>
        <v>460</v>
      </c>
    </row>
    <row r="87" spans="1:8" s="55" customFormat="1" ht="51.75" hidden="1" thickBot="1" x14ac:dyDescent="0.3">
      <c r="A87" s="10" t="s">
        <v>67</v>
      </c>
      <c r="B87" s="5" t="s">
        <v>250</v>
      </c>
      <c r="C87" s="4">
        <v>240</v>
      </c>
      <c r="D87" s="1"/>
      <c r="E87" s="1"/>
      <c r="F87" s="3">
        <f t="shared" si="15"/>
        <v>2570</v>
      </c>
      <c r="G87" s="3">
        <f t="shared" si="15"/>
        <v>460</v>
      </c>
      <c r="H87" s="77">
        <f t="shared" si="15"/>
        <v>460</v>
      </c>
    </row>
    <row r="88" spans="1:8" s="55" customFormat="1" ht="15.75" hidden="1" customHeight="1" x14ac:dyDescent="0.25">
      <c r="A88" s="10" t="s">
        <v>295</v>
      </c>
      <c r="B88" s="5" t="s">
        <v>250</v>
      </c>
      <c r="C88" s="4">
        <v>240</v>
      </c>
      <c r="D88" s="1" t="s">
        <v>40</v>
      </c>
      <c r="E88" s="1" t="s">
        <v>118</v>
      </c>
      <c r="F88" s="3">
        <f>пр.4!G97</f>
        <v>2570</v>
      </c>
      <c r="G88" s="3">
        <f>пр.4!H97</f>
        <v>460</v>
      </c>
      <c r="H88" s="77">
        <f>пр.4!I97</f>
        <v>460</v>
      </c>
    </row>
    <row r="89" spans="1:8" s="55" customFormat="1" ht="64.5" hidden="1" thickBot="1" x14ac:dyDescent="0.3">
      <c r="A89" s="312" t="s">
        <v>350</v>
      </c>
      <c r="B89" s="313" t="s">
        <v>351</v>
      </c>
      <c r="C89" s="103"/>
      <c r="D89" s="104"/>
      <c r="E89" s="104"/>
      <c r="F89" s="73">
        <f>F90</f>
        <v>6600</v>
      </c>
      <c r="G89" s="73">
        <f t="shared" ref="G89:H92" si="16">G90</f>
        <v>0</v>
      </c>
      <c r="H89" s="74">
        <f t="shared" si="16"/>
        <v>0</v>
      </c>
    </row>
    <row r="90" spans="1:8" s="55" customFormat="1" ht="77.25" hidden="1" thickBot="1" x14ac:dyDescent="0.3">
      <c r="A90" s="116" t="s">
        <v>352</v>
      </c>
      <c r="B90" s="85" t="s">
        <v>353</v>
      </c>
      <c r="C90" s="4"/>
      <c r="D90" s="1"/>
      <c r="E90" s="1"/>
      <c r="F90" s="3">
        <f>F91</f>
        <v>6600</v>
      </c>
      <c r="G90" s="3">
        <f t="shared" si="16"/>
        <v>0</v>
      </c>
      <c r="H90" s="77">
        <f t="shared" si="16"/>
        <v>0</v>
      </c>
    </row>
    <row r="91" spans="1:8" s="55" customFormat="1" ht="39" hidden="1" thickBot="1" x14ac:dyDescent="0.3">
      <c r="A91" s="116" t="s">
        <v>65</v>
      </c>
      <c r="B91" s="85" t="s">
        <v>353</v>
      </c>
      <c r="C91" s="85" t="s">
        <v>66</v>
      </c>
      <c r="D91" s="85"/>
      <c r="E91" s="85"/>
      <c r="F91" s="3">
        <f>F92</f>
        <v>6600</v>
      </c>
      <c r="G91" s="3">
        <f t="shared" si="16"/>
        <v>0</v>
      </c>
      <c r="H91" s="77">
        <f t="shared" si="16"/>
        <v>0</v>
      </c>
    </row>
    <row r="92" spans="1:8" s="55" customFormat="1" ht="51.75" hidden="1" thickBot="1" x14ac:dyDescent="0.3">
      <c r="A92" s="117" t="s">
        <v>67</v>
      </c>
      <c r="B92" s="85" t="s">
        <v>353</v>
      </c>
      <c r="C92" s="5" t="s">
        <v>68</v>
      </c>
      <c r="D92" s="85"/>
      <c r="E92" s="85"/>
      <c r="F92" s="3">
        <f>F93</f>
        <v>6600</v>
      </c>
      <c r="G92" s="3">
        <f t="shared" si="16"/>
        <v>0</v>
      </c>
      <c r="H92" s="77">
        <f t="shared" si="16"/>
        <v>0</v>
      </c>
    </row>
    <row r="93" spans="1:8" s="55" customFormat="1" ht="51.75" hidden="1" thickBot="1" x14ac:dyDescent="0.3">
      <c r="A93" s="118" t="s">
        <v>144</v>
      </c>
      <c r="B93" s="119" t="s">
        <v>353</v>
      </c>
      <c r="C93" s="105" t="s">
        <v>68</v>
      </c>
      <c r="D93" s="119" t="s">
        <v>40</v>
      </c>
      <c r="E93" s="119" t="s">
        <v>145</v>
      </c>
      <c r="F93" s="93">
        <f>пр.4!G112</f>
        <v>6600</v>
      </c>
      <c r="G93" s="93">
        <f>пр.4!H112</f>
        <v>0</v>
      </c>
      <c r="H93" s="94">
        <f>пр.4!I112</f>
        <v>0</v>
      </c>
    </row>
    <row r="94" spans="1:8" s="55" customFormat="1" ht="64.5" hidden="1" thickBot="1" x14ac:dyDescent="0.3">
      <c r="A94" s="120" t="s">
        <v>375</v>
      </c>
      <c r="B94" s="121" t="s">
        <v>51</v>
      </c>
      <c r="C94" s="121"/>
      <c r="D94" s="122"/>
      <c r="E94" s="122"/>
      <c r="F94" s="68">
        <f>F95+F118</f>
        <v>81930.614150000009</v>
      </c>
      <c r="G94" s="68">
        <f>G95+G118</f>
        <v>24206.614000000001</v>
      </c>
      <c r="H94" s="69">
        <f>H95+H118</f>
        <v>24238.805</v>
      </c>
    </row>
    <row r="95" spans="1:8" s="55" customFormat="1" ht="27.75" hidden="1" thickBot="1" x14ac:dyDescent="0.3">
      <c r="A95" s="314" t="s">
        <v>232</v>
      </c>
      <c r="B95" s="315" t="s">
        <v>251</v>
      </c>
      <c r="C95" s="123"/>
      <c r="D95" s="316"/>
      <c r="E95" s="316"/>
      <c r="F95" s="110">
        <f>F96+F113</f>
        <v>81930.614150000009</v>
      </c>
      <c r="G95" s="110">
        <f>G96+G113</f>
        <v>18535.092260000001</v>
      </c>
      <c r="H95" s="111">
        <f>H96+H113</f>
        <v>18608.585210000001</v>
      </c>
    </row>
    <row r="96" spans="1:8" s="55" customFormat="1" ht="128.25" hidden="1" thickBot="1" x14ac:dyDescent="0.3">
      <c r="A96" s="302" t="s">
        <v>252</v>
      </c>
      <c r="B96" s="317" t="s">
        <v>253</v>
      </c>
      <c r="C96" s="125"/>
      <c r="D96" s="126"/>
      <c r="E96" s="126"/>
      <c r="F96" s="73">
        <f>F97+F101+F109+F105</f>
        <v>78930.614150000009</v>
      </c>
      <c r="G96" s="73">
        <f>G97+G101+G109+G105</f>
        <v>18035.092260000001</v>
      </c>
      <c r="H96" s="74">
        <f>H97+H101+H109+H105</f>
        <v>18108.585210000001</v>
      </c>
    </row>
    <row r="97" spans="1:8" s="55" customFormat="1" ht="26.25" hidden="1" thickBot="1" x14ac:dyDescent="0.3">
      <c r="A97" s="124" t="s">
        <v>52</v>
      </c>
      <c r="B97" s="7" t="s">
        <v>254</v>
      </c>
      <c r="C97" s="114"/>
      <c r="D97" s="115"/>
      <c r="E97" s="115"/>
      <c r="F97" s="3">
        <f>F99</f>
        <v>19601.2</v>
      </c>
      <c r="G97" s="3">
        <f>G99</f>
        <v>15554</v>
      </c>
      <c r="H97" s="77">
        <f>H99</f>
        <v>15554</v>
      </c>
    </row>
    <row r="98" spans="1:8" s="55" customFormat="1" ht="39" hidden="1" thickBot="1" x14ac:dyDescent="0.3">
      <c r="A98" s="127" t="s">
        <v>31</v>
      </c>
      <c r="B98" s="7" t="s">
        <v>254</v>
      </c>
      <c r="C98" s="114">
        <v>200</v>
      </c>
      <c r="D98" s="115"/>
      <c r="E98" s="115"/>
      <c r="F98" s="3">
        <f t="shared" ref="F98:H99" si="17">F99</f>
        <v>19601.2</v>
      </c>
      <c r="G98" s="3">
        <f t="shared" si="17"/>
        <v>15554</v>
      </c>
      <c r="H98" s="77">
        <f t="shared" si="17"/>
        <v>15554</v>
      </c>
    </row>
    <row r="99" spans="1:8" s="55" customFormat="1" ht="51.75" hidden="1" thickBot="1" x14ac:dyDescent="0.3">
      <c r="A99" s="128" t="s">
        <v>67</v>
      </c>
      <c r="B99" s="7" t="s">
        <v>254</v>
      </c>
      <c r="C99" s="114">
        <v>240</v>
      </c>
      <c r="D99" s="115"/>
      <c r="E99" s="115"/>
      <c r="F99" s="3">
        <f t="shared" si="17"/>
        <v>19601.2</v>
      </c>
      <c r="G99" s="3">
        <f t="shared" si="17"/>
        <v>15554</v>
      </c>
      <c r="H99" s="77">
        <f t="shared" si="17"/>
        <v>15554</v>
      </c>
    </row>
    <row r="100" spans="1:8" s="55" customFormat="1" ht="26.25" hidden="1" thickBot="1" x14ac:dyDescent="0.3">
      <c r="A100" s="343" t="s">
        <v>53</v>
      </c>
      <c r="B100" s="7" t="s">
        <v>254</v>
      </c>
      <c r="C100" s="114">
        <v>240</v>
      </c>
      <c r="D100" s="115" t="s">
        <v>36</v>
      </c>
      <c r="E100" s="115" t="s">
        <v>49</v>
      </c>
      <c r="F100" s="3">
        <f>пр.4!G138</f>
        <v>19601.2</v>
      </c>
      <c r="G100" s="3">
        <f>пр.4!H138</f>
        <v>15554</v>
      </c>
      <c r="H100" s="77">
        <f>пр.4!I138</f>
        <v>15554</v>
      </c>
    </row>
    <row r="101" spans="1:8" s="55" customFormat="1" ht="15.75" hidden="1" customHeight="1" x14ac:dyDescent="0.25">
      <c r="A101" s="9" t="s">
        <v>256</v>
      </c>
      <c r="B101" s="5" t="s">
        <v>255</v>
      </c>
      <c r="C101" s="114"/>
      <c r="D101" s="115"/>
      <c r="E101" s="115"/>
      <c r="F101" s="3">
        <f>F102</f>
        <v>22050.68965</v>
      </c>
      <c r="G101" s="3">
        <f>G102</f>
        <v>0</v>
      </c>
      <c r="H101" s="3">
        <f>H102</f>
        <v>0</v>
      </c>
    </row>
    <row r="102" spans="1:8" s="55" customFormat="1" ht="39" hidden="1" thickBot="1" x14ac:dyDescent="0.3">
      <c r="A102" s="127" t="s">
        <v>31</v>
      </c>
      <c r="B102" s="7" t="s">
        <v>255</v>
      </c>
      <c r="C102" s="114">
        <v>200</v>
      </c>
      <c r="D102" s="115"/>
      <c r="E102" s="115"/>
      <c r="F102" s="3">
        <f t="shared" ref="F102:H103" si="18">F103</f>
        <v>22050.68965</v>
      </c>
      <c r="G102" s="3">
        <f t="shared" si="18"/>
        <v>0</v>
      </c>
      <c r="H102" s="77">
        <f t="shared" si="18"/>
        <v>0</v>
      </c>
    </row>
    <row r="103" spans="1:8" s="55" customFormat="1" ht="15.75" hidden="1" customHeight="1" x14ac:dyDescent="0.25">
      <c r="A103" s="128" t="s">
        <v>67</v>
      </c>
      <c r="B103" s="7" t="s">
        <v>255</v>
      </c>
      <c r="C103" s="114">
        <v>240</v>
      </c>
      <c r="D103" s="115"/>
      <c r="E103" s="115"/>
      <c r="F103" s="3">
        <f t="shared" si="18"/>
        <v>22050.68965</v>
      </c>
      <c r="G103" s="3">
        <f t="shared" si="18"/>
        <v>0</v>
      </c>
      <c r="H103" s="77">
        <f t="shared" si="18"/>
        <v>0</v>
      </c>
    </row>
    <row r="104" spans="1:8" s="55" customFormat="1" ht="26.25" hidden="1" thickBot="1" x14ac:dyDescent="0.3">
      <c r="A104" s="343" t="s">
        <v>53</v>
      </c>
      <c r="B104" s="7" t="s">
        <v>255</v>
      </c>
      <c r="C104" s="114">
        <v>240</v>
      </c>
      <c r="D104" s="115" t="s">
        <v>36</v>
      </c>
      <c r="E104" s="115" t="s">
        <v>49</v>
      </c>
      <c r="F104" s="3">
        <f>пр.4!G141</f>
        <v>22050.68965</v>
      </c>
      <c r="G104" s="3">
        <f>пр.4!H141</f>
        <v>0</v>
      </c>
      <c r="H104" s="77">
        <f>пр.4!I141</f>
        <v>0</v>
      </c>
    </row>
    <row r="105" spans="1:8" s="55" customFormat="1" ht="90" hidden="1" thickBot="1" x14ac:dyDescent="0.3">
      <c r="A105" s="127" t="s">
        <v>411</v>
      </c>
      <c r="B105" s="7" t="s">
        <v>395</v>
      </c>
      <c r="C105" s="114"/>
      <c r="D105" s="115"/>
      <c r="E105" s="115"/>
      <c r="F105" s="3">
        <f>F106</f>
        <v>2820.3484100000001</v>
      </c>
      <c r="G105" s="3">
        <f t="shared" ref="G105:H107" si="19">G106</f>
        <v>2481.0922599999999</v>
      </c>
      <c r="H105" s="77">
        <f t="shared" si="19"/>
        <v>2554.5852100000002</v>
      </c>
    </row>
    <row r="106" spans="1:8" s="55" customFormat="1" ht="39" hidden="1" thickBot="1" x14ac:dyDescent="0.3">
      <c r="A106" s="127" t="s">
        <v>31</v>
      </c>
      <c r="B106" s="7" t="s">
        <v>395</v>
      </c>
      <c r="C106" s="114">
        <v>200</v>
      </c>
      <c r="D106" s="115"/>
      <c r="E106" s="115"/>
      <c r="F106" s="3">
        <f>F107</f>
        <v>2820.3484100000001</v>
      </c>
      <c r="G106" s="3">
        <f t="shared" si="19"/>
        <v>2481.0922599999999</v>
      </c>
      <c r="H106" s="77">
        <f t="shared" si="19"/>
        <v>2554.5852100000002</v>
      </c>
    </row>
    <row r="107" spans="1:8" s="55" customFormat="1" ht="51.75" hidden="1" thickBot="1" x14ac:dyDescent="0.3">
      <c r="A107" s="128" t="s">
        <v>67</v>
      </c>
      <c r="B107" s="7" t="s">
        <v>395</v>
      </c>
      <c r="C107" s="114">
        <v>240</v>
      </c>
      <c r="D107" s="115"/>
      <c r="E107" s="115"/>
      <c r="F107" s="3">
        <f>F108</f>
        <v>2820.3484100000001</v>
      </c>
      <c r="G107" s="3">
        <f t="shared" si="19"/>
        <v>2481.0922599999999</v>
      </c>
      <c r="H107" s="77">
        <f t="shared" si="19"/>
        <v>2554.5852100000002</v>
      </c>
    </row>
    <row r="108" spans="1:8" s="55" customFormat="1" ht="26.25" hidden="1" thickBot="1" x14ac:dyDescent="0.3">
      <c r="A108" s="343" t="s">
        <v>53</v>
      </c>
      <c r="B108" s="7" t="s">
        <v>395</v>
      </c>
      <c r="C108" s="114">
        <v>240</v>
      </c>
      <c r="D108" s="115" t="s">
        <v>36</v>
      </c>
      <c r="E108" s="115" t="s">
        <v>49</v>
      </c>
      <c r="F108" s="3">
        <f>пр.4!G147</f>
        <v>2820.3484100000001</v>
      </c>
      <c r="G108" s="3">
        <f>пр.4!H147</f>
        <v>2481.0922599999999</v>
      </c>
      <c r="H108" s="77">
        <f>пр.4!I147</f>
        <v>2554.5852100000002</v>
      </c>
    </row>
    <row r="109" spans="1:8" s="55" customFormat="1" ht="90" hidden="1" thickBot="1" x14ac:dyDescent="0.3">
      <c r="A109" s="86" t="s">
        <v>303</v>
      </c>
      <c r="B109" s="4" t="s">
        <v>257</v>
      </c>
      <c r="C109" s="114"/>
      <c r="D109" s="115"/>
      <c r="E109" s="115"/>
      <c r="F109" s="3">
        <f t="shared" ref="F109:H111" si="20">F110</f>
        <v>34458.376090000005</v>
      </c>
      <c r="G109" s="3">
        <f t="shared" si="20"/>
        <v>0</v>
      </c>
      <c r="H109" s="77">
        <f t="shared" si="20"/>
        <v>0</v>
      </c>
    </row>
    <row r="110" spans="1:8" s="55" customFormat="1" ht="39" hidden="1" thickBot="1" x14ac:dyDescent="0.3">
      <c r="A110" s="127" t="s">
        <v>31</v>
      </c>
      <c r="B110" s="114" t="s">
        <v>257</v>
      </c>
      <c r="C110" s="114">
        <v>200</v>
      </c>
      <c r="D110" s="115"/>
      <c r="E110" s="115"/>
      <c r="F110" s="3">
        <f t="shared" si="20"/>
        <v>34458.376090000005</v>
      </c>
      <c r="G110" s="3">
        <f t="shared" si="20"/>
        <v>0</v>
      </c>
      <c r="H110" s="77">
        <f t="shared" si="20"/>
        <v>0</v>
      </c>
    </row>
    <row r="111" spans="1:8" s="55" customFormat="1" ht="51.75" hidden="1" thickBot="1" x14ac:dyDescent="0.3">
      <c r="A111" s="128" t="s">
        <v>67</v>
      </c>
      <c r="B111" s="114" t="s">
        <v>257</v>
      </c>
      <c r="C111" s="114">
        <v>240</v>
      </c>
      <c r="D111" s="115"/>
      <c r="E111" s="115"/>
      <c r="F111" s="3">
        <f t="shared" si="20"/>
        <v>34458.376090000005</v>
      </c>
      <c r="G111" s="3">
        <f t="shared" si="20"/>
        <v>0</v>
      </c>
      <c r="H111" s="77">
        <f t="shared" si="20"/>
        <v>0</v>
      </c>
    </row>
    <row r="112" spans="1:8" s="55" customFormat="1" ht="26.25" hidden="1" thickBot="1" x14ac:dyDescent="0.3">
      <c r="A112" s="343" t="s">
        <v>53</v>
      </c>
      <c r="B112" s="114" t="s">
        <v>257</v>
      </c>
      <c r="C112" s="114">
        <v>240</v>
      </c>
      <c r="D112" s="115" t="s">
        <v>36</v>
      </c>
      <c r="E112" s="115" t="s">
        <v>49</v>
      </c>
      <c r="F112" s="3">
        <f>пр.4!G144</f>
        <v>34458.376090000005</v>
      </c>
      <c r="G112" s="3">
        <f>пр.4!H144</f>
        <v>0</v>
      </c>
      <c r="H112" s="77">
        <f>пр.4!I144</f>
        <v>0</v>
      </c>
    </row>
    <row r="113" spans="1:8" s="55" customFormat="1" ht="51.75" hidden="1" thickBot="1" x14ac:dyDescent="0.3">
      <c r="A113" s="102" t="s">
        <v>286</v>
      </c>
      <c r="B113" s="112" t="s">
        <v>287</v>
      </c>
      <c r="C113" s="103"/>
      <c r="D113" s="104"/>
      <c r="E113" s="104"/>
      <c r="F113" s="73">
        <f>F114</f>
        <v>3000</v>
      </c>
      <c r="G113" s="73">
        <f>G114</f>
        <v>500</v>
      </c>
      <c r="H113" s="74">
        <f>H114</f>
        <v>500</v>
      </c>
    </row>
    <row r="114" spans="1:8" s="55" customFormat="1" ht="51.75" hidden="1" thickBot="1" x14ac:dyDescent="0.3">
      <c r="A114" s="86" t="s">
        <v>289</v>
      </c>
      <c r="B114" s="5" t="s">
        <v>288</v>
      </c>
      <c r="C114" s="4"/>
      <c r="D114" s="1"/>
      <c r="E114" s="1"/>
      <c r="F114" s="3">
        <f>F116</f>
        <v>3000</v>
      </c>
      <c r="G114" s="3">
        <f>G116</f>
        <v>500</v>
      </c>
      <c r="H114" s="77">
        <f>H116</f>
        <v>500</v>
      </c>
    </row>
    <row r="115" spans="1:8" s="55" customFormat="1" ht="39" hidden="1" thickBot="1" x14ac:dyDescent="0.3">
      <c r="A115" s="9" t="s">
        <v>31</v>
      </c>
      <c r="B115" s="5" t="s">
        <v>288</v>
      </c>
      <c r="C115" s="4">
        <v>200</v>
      </c>
      <c r="D115" s="1"/>
      <c r="E115" s="1"/>
      <c r="F115" s="3">
        <f>F114</f>
        <v>3000</v>
      </c>
      <c r="G115" s="3">
        <f>G114</f>
        <v>500</v>
      </c>
      <c r="H115" s="77">
        <f>H114</f>
        <v>500</v>
      </c>
    </row>
    <row r="116" spans="1:8" s="55" customFormat="1" ht="51.75" hidden="1" thickBot="1" x14ac:dyDescent="0.3">
      <c r="A116" s="10" t="s">
        <v>67</v>
      </c>
      <c r="B116" s="5" t="s">
        <v>288</v>
      </c>
      <c r="C116" s="4">
        <v>240</v>
      </c>
      <c r="D116" s="1"/>
      <c r="E116" s="1"/>
      <c r="F116" s="3">
        <f>F117</f>
        <v>3000</v>
      </c>
      <c r="G116" s="3">
        <f>G117</f>
        <v>500</v>
      </c>
      <c r="H116" s="77">
        <f>H117</f>
        <v>500</v>
      </c>
    </row>
    <row r="117" spans="1:8" s="55" customFormat="1" ht="26.25" hidden="1" thickBot="1" x14ac:dyDescent="0.3">
      <c r="A117" s="345" t="s">
        <v>53</v>
      </c>
      <c r="B117" s="5" t="s">
        <v>288</v>
      </c>
      <c r="C117" s="4">
        <v>240</v>
      </c>
      <c r="D117" s="1" t="s">
        <v>36</v>
      </c>
      <c r="E117" s="1" t="s">
        <v>49</v>
      </c>
      <c r="F117" s="3">
        <f>пр.4!G151</f>
        <v>3000</v>
      </c>
      <c r="G117" s="3">
        <f>пр.4!H151</f>
        <v>500</v>
      </c>
      <c r="H117" s="77">
        <f>пр.4!I151</f>
        <v>500</v>
      </c>
    </row>
    <row r="118" spans="1:8" s="55" customFormat="1" ht="16.5" hidden="1" thickBot="1" x14ac:dyDescent="0.3">
      <c r="A118" s="12" t="s">
        <v>410</v>
      </c>
      <c r="B118" s="112" t="s">
        <v>386</v>
      </c>
      <c r="C118" s="103"/>
      <c r="D118" s="104"/>
      <c r="E118" s="104"/>
      <c r="F118" s="73">
        <f>SUM(F119)</f>
        <v>0</v>
      </c>
      <c r="G118" s="73">
        <f>SUM(G119)</f>
        <v>5671.5217400000001</v>
      </c>
      <c r="H118" s="74">
        <f>SUM(H119)</f>
        <v>5630.2197900000001</v>
      </c>
    </row>
    <row r="119" spans="1:8" s="55" customFormat="1" ht="51.75" hidden="1" thickBot="1" x14ac:dyDescent="0.3">
      <c r="A119" s="9" t="s">
        <v>389</v>
      </c>
      <c r="B119" s="5" t="s">
        <v>387</v>
      </c>
      <c r="C119" s="4"/>
      <c r="D119" s="1"/>
      <c r="E119" s="1"/>
      <c r="F119" s="3">
        <f>F121</f>
        <v>0</v>
      </c>
      <c r="G119" s="3">
        <f>G121</f>
        <v>5671.5217400000001</v>
      </c>
      <c r="H119" s="77">
        <f>H121</f>
        <v>5630.2197900000001</v>
      </c>
    </row>
    <row r="120" spans="1:8" s="55" customFormat="1" ht="39" hidden="1" thickBot="1" x14ac:dyDescent="0.3">
      <c r="A120" s="9" t="s">
        <v>508</v>
      </c>
      <c r="B120" s="5" t="s">
        <v>388</v>
      </c>
      <c r="C120" s="4"/>
      <c r="D120" s="1"/>
      <c r="E120" s="1"/>
      <c r="F120" s="3">
        <f t="shared" ref="F120:H121" si="21">F121</f>
        <v>0</v>
      </c>
      <c r="G120" s="3">
        <f t="shared" si="21"/>
        <v>5671.5217400000001</v>
      </c>
      <c r="H120" s="77">
        <f t="shared" si="21"/>
        <v>5630.2197900000001</v>
      </c>
    </row>
    <row r="121" spans="1:8" s="55" customFormat="1" ht="39" hidden="1" thickBot="1" x14ac:dyDescent="0.3">
      <c r="A121" s="9" t="s">
        <v>31</v>
      </c>
      <c r="B121" s="5" t="s">
        <v>388</v>
      </c>
      <c r="C121" s="4">
        <v>200</v>
      </c>
      <c r="D121" s="1"/>
      <c r="E121" s="1"/>
      <c r="F121" s="3">
        <f t="shared" si="21"/>
        <v>0</v>
      </c>
      <c r="G121" s="3">
        <f t="shared" si="21"/>
        <v>5671.5217400000001</v>
      </c>
      <c r="H121" s="77">
        <f t="shared" si="21"/>
        <v>5630.2197900000001</v>
      </c>
    </row>
    <row r="122" spans="1:8" s="55" customFormat="1" ht="51.75" hidden="1" thickBot="1" x14ac:dyDescent="0.3">
      <c r="A122" s="10" t="s">
        <v>67</v>
      </c>
      <c r="B122" s="5" t="s">
        <v>388</v>
      </c>
      <c r="C122" s="4">
        <v>240</v>
      </c>
      <c r="D122" s="1"/>
      <c r="E122" s="1"/>
      <c r="F122" s="3">
        <v>0</v>
      </c>
      <c r="G122" s="3">
        <f>G123</f>
        <v>5671.5217400000001</v>
      </c>
      <c r="H122" s="77">
        <f>H123</f>
        <v>5630.2197900000001</v>
      </c>
    </row>
    <row r="123" spans="1:8" s="55" customFormat="1" ht="26.25" hidden="1" thickBot="1" x14ac:dyDescent="0.3">
      <c r="A123" s="344" t="s">
        <v>53</v>
      </c>
      <c r="B123" s="130" t="s">
        <v>388</v>
      </c>
      <c r="C123" s="307">
        <v>240</v>
      </c>
      <c r="D123" s="163" t="s">
        <v>36</v>
      </c>
      <c r="E123" s="163" t="s">
        <v>49</v>
      </c>
      <c r="F123" s="164">
        <f>пр.4!G156</f>
        <v>0</v>
      </c>
      <c r="G123" s="164">
        <f>пр.4!H156</f>
        <v>5671.5217400000001</v>
      </c>
      <c r="H123" s="165">
        <f>пр.4!I156</f>
        <v>5630.2197900000001</v>
      </c>
    </row>
    <row r="124" spans="1:8" s="55" customFormat="1" ht="64.5" hidden="1" thickBot="1" x14ac:dyDescent="0.3">
      <c r="A124" s="66" t="s">
        <v>376</v>
      </c>
      <c r="B124" s="59" t="s">
        <v>55</v>
      </c>
      <c r="C124" s="59"/>
      <c r="D124" s="67"/>
      <c r="E124" s="67"/>
      <c r="F124" s="68">
        <f>SUM(F125)</f>
        <v>500</v>
      </c>
      <c r="G124" s="68">
        <f>SUM(G125)</f>
        <v>394.01600000000002</v>
      </c>
      <c r="H124" s="69">
        <f>SUM(H125)</f>
        <v>394.01600000000002</v>
      </c>
    </row>
    <row r="125" spans="1:8" s="55" customFormat="1" ht="27.75" hidden="1" thickBot="1" x14ac:dyDescent="0.3">
      <c r="A125" s="213" t="s">
        <v>232</v>
      </c>
      <c r="B125" s="214" t="s">
        <v>260</v>
      </c>
      <c r="C125" s="318"/>
      <c r="D125" s="319"/>
      <c r="E125" s="319"/>
      <c r="F125" s="71">
        <f t="shared" ref="F125:H126" si="22">F126</f>
        <v>500</v>
      </c>
      <c r="G125" s="71">
        <f t="shared" si="22"/>
        <v>394.01600000000002</v>
      </c>
      <c r="H125" s="72">
        <f t="shared" si="22"/>
        <v>394.01600000000002</v>
      </c>
    </row>
    <row r="126" spans="1:8" s="55" customFormat="1" ht="39" hidden="1" thickBot="1" x14ac:dyDescent="0.3">
      <c r="A126" s="89" t="s">
        <v>258</v>
      </c>
      <c r="B126" s="112" t="s">
        <v>259</v>
      </c>
      <c r="C126" s="87"/>
      <c r="D126" s="88"/>
      <c r="E126" s="88"/>
      <c r="F126" s="73">
        <f t="shared" si="22"/>
        <v>500</v>
      </c>
      <c r="G126" s="73">
        <f t="shared" si="22"/>
        <v>394.01600000000002</v>
      </c>
      <c r="H126" s="74">
        <f t="shared" si="22"/>
        <v>394.01600000000002</v>
      </c>
    </row>
    <row r="127" spans="1:8" s="55" customFormat="1" ht="26.25" hidden="1" thickBot="1" x14ac:dyDescent="0.3">
      <c r="A127" s="9" t="s">
        <v>59</v>
      </c>
      <c r="B127" s="5" t="s">
        <v>261</v>
      </c>
      <c r="C127" s="56"/>
      <c r="D127" s="76"/>
      <c r="E127" s="76"/>
      <c r="F127" s="3">
        <f>F129</f>
        <v>500</v>
      </c>
      <c r="G127" s="3">
        <f>G129</f>
        <v>394.01600000000002</v>
      </c>
      <c r="H127" s="77">
        <f>H129</f>
        <v>394.01600000000002</v>
      </c>
    </row>
    <row r="128" spans="1:8" s="55" customFormat="1" ht="39" hidden="1" thickBot="1" x14ac:dyDescent="0.3">
      <c r="A128" s="75" t="s">
        <v>31</v>
      </c>
      <c r="B128" s="5" t="s">
        <v>261</v>
      </c>
      <c r="C128" s="56">
        <v>200</v>
      </c>
      <c r="D128" s="76"/>
      <c r="E128" s="76"/>
      <c r="F128" s="3">
        <f t="shared" ref="F128:H129" si="23">F129</f>
        <v>500</v>
      </c>
      <c r="G128" s="3">
        <f t="shared" si="23"/>
        <v>394.01600000000002</v>
      </c>
      <c r="H128" s="77">
        <f t="shared" si="23"/>
        <v>394.01600000000002</v>
      </c>
    </row>
    <row r="129" spans="1:8" s="55" customFormat="1" ht="51.75" hidden="1" thickBot="1" x14ac:dyDescent="0.3">
      <c r="A129" s="10" t="s">
        <v>67</v>
      </c>
      <c r="B129" s="5" t="s">
        <v>261</v>
      </c>
      <c r="C129" s="56">
        <v>240</v>
      </c>
      <c r="D129" s="76"/>
      <c r="E129" s="76"/>
      <c r="F129" s="3">
        <f t="shared" si="23"/>
        <v>500</v>
      </c>
      <c r="G129" s="3">
        <f t="shared" si="23"/>
        <v>394.01600000000002</v>
      </c>
      <c r="H129" s="77">
        <f t="shared" si="23"/>
        <v>394.01600000000002</v>
      </c>
    </row>
    <row r="130" spans="1:8" s="55" customFormat="1" ht="16.5" hidden="1" thickBot="1" x14ac:dyDescent="0.3">
      <c r="A130" s="346" t="s">
        <v>56</v>
      </c>
      <c r="B130" s="105" t="s">
        <v>261</v>
      </c>
      <c r="C130" s="91">
        <v>240</v>
      </c>
      <c r="D130" s="92" t="s">
        <v>57</v>
      </c>
      <c r="E130" s="92" t="s">
        <v>58</v>
      </c>
      <c r="F130" s="93">
        <f>пр.4!G190</f>
        <v>500</v>
      </c>
      <c r="G130" s="93">
        <f>пр.4!H190</f>
        <v>394.01600000000002</v>
      </c>
      <c r="H130" s="94">
        <f>пр.4!I190</f>
        <v>394.01600000000002</v>
      </c>
    </row>
    <row r="131" spans="1:8" s="55" customFormat="1" ht="64.5" hidden="1" thickBot="1" x14ac:dyDescent="0.3">
      <c r="A131" s="132" t="s">
        <v>377</v>
      </c>
      <c r="B131" s="133" t="s">
        <v>60</v>
      </c>
      <c r="C131" s="133"/>
      <c r="D131" s="133"/>
      <c r="E131" s="133"/>
      <c r="F131" s="134">
        <f>F132</f>
        <v>142267.85149999999</v>
      </c>
      <c r="G131" s="134">
        <f>G132</f>
        <v>45218.5236</v>
      </c>
      <c r="H131" s="135">
        <f>H132</f>
        <v>45218.5236</v>
      </c>
    </row>
    <row r="132" spans="1:8" s="55" customFormat="1" ht="27.75" hidden="1" thickBot="1" x14ac:dyDescent="0.3">
      <c r="A132" s="320" t="s">
        <v>232</v>
      </c>
      <c r="B132" s="321" t="s">
        <v>262</v>
      </c>
      <c r="C132" s="136"/>
      <c r="D132" s="136"/>
      <c r="E132" s="136"/>
      <c r="F132" s="322">
        <f>F133+F142</f>
        <v>142267.85149999999</v>
      </c>
      <c r="G132" s="322">
        <f>G133+G142</f>
        <v>45218.5236</v>
      </c>
      <c r="H132" s="323">
        <f>H133+H142</f>
        <v>45218.5236</v>
      </c>
    </row>
    <row r="133" spans="1:8" s="55" customFormat="1" ht="90" hidden="1" thickBot="1" x14ac:dyDescent="0.3">
      <c r="A133" s="324" t="s">
        <v>263</v>
      </c>
      <c r="B133" s="139" t="s">
        <v>264</v>
      </c>
      <c r="C133" s="139"/>
      <c r="D133" s="325"/>
      <c r="E133" s="325"/>
      <c r="F133" s="140">
        <f>F134+F138</f>
        <v>139927.85149999999</v>
      </c>
      <c r="G133" s="140">
        <f>G134+G138</f>
        <v>44218.5236</v>
      </c>
      <c r="H133" s="141">
        <f>H134+H138</f>
        <v>44218.5236</v>
      </c>
    </row>
    <row r="134" spans="1:8" s="55" customFormat="1" ht="77.25" hidden="1" thickBot="1" x14ac:dyDescent="0.3">
      <c r="A134" s="137" t="s">
        <v>378</v>
      </c>
      <c r="B134" s="138" t="s">
        <v>265</v>
      </c>
      <c r="C134" s="138"/>
      <c r="D134" s="138"/>
      <c r="E134" s="138"/>
      <c r="F134" s="142">
        <f t="shared" ref="F134:H136" si="24">F135</f>
        <v>138002.37993999998</v>
      </c>
      <c r="G134" s="142">
        <f t="shared" si="24"/>
        <v>44218.5236</v>
      </c>
      <c r="H134" s="143">
        <f t="shared" si="24"/>
        <v>44218.5236</v>
      </c>
    </row>
    <row r="135" spans="1:8" s="55" customFormat="1" ht="39" hidden="1" thickBot="1" x14ac:dyDescent="0.3">
      <c r="A135" s="144" t="s">
        <v>31</v>
      </c>
      <c r="B135" s="138" t="s">
        <v>265</v>
      </c>
      <c r="C135" s="145">
        <v>200</v>
      </c>
      <c r="D135" s="138"/>
      <c r="E135" s="138"/>
      <c r="F135" s="142">
        <f t="shared" si="24"/>
        <v>138002.37993999998</v>
      </c>
      <c r="G135" s="142">
        <f t="shared" si="24"/>
        <v>44218.5236</v>
      </c>
      <c r="H135" s="143">
        <f t="shared" si="24"/>
        <v>44218.5236</v>
      </c>
    </row>
    <row r="136" spans="1:8" s="55" customFormat="1" ht="51.75" hidden="1" thickBot="1" x14ac:dyDescent="0.3">
      <c r="A136" s="146" t="s">
        <v>67</v>
      </c>
      <c r="B136" s="138" t="s">
        <v>265</v>
      </c>
      <c r="C136" s="145">
        <v>240</v>
      </c>
      <c r="D136" s="138"/>
      <c r="E136" s="138"/>
      <c r="F136" s="142">
        <f t="shared" si="24"/>
        <v>138002.37993999998</v>
      </c>
      <c r="G136" s="142">
        <f t="shared" si="24"/>
        <v>44218.5236</v>
      </c>
      <c r="H136" s="143">
        <f t="shared" si="24"/>
        <v>44218.5236</v>
      </c>
    </row>
    <row r="137" spans="1:8" s="55" customFormat="1" ht="16.5" hidden="1" thickBot="1" x14ac:dyDescent="0.3">
      <c r="A137" s="146" t="s">
        <v>61</v>
      </c>
      <c r="B137" s="138" t="s">
        <v>265</v>
      </c>
      <c r="C137" s="145">
        <v>240</v>
      </c>
      <c r="D137" s="138" t="s">
        <v>57</v>
      </c>
      <c r="E137" s="138" t="s">
        <v>40</v>
      </c>
      <c r="F137" s="142">
        <f>пр.4!G197</f>
        <v>138002.37993999998</v>
      </c>
      <c r="G137" s="142">
        <f>пр.4!H197</f>
        <v>44218.5236</v>
      </c>
      <c r="H137" s="143">
        <f>пр.4!I197</f>
        <v>44218.5236</v>
      </c>
    </row>
    <row r="138" spans="1:8" s="55" customFormat="1" ht="64.5" hidden="1" thickBot="1" x14ac:dyDescent="0.3">
      <c r="A138" s="137" t="s">
        <v>266</v>
      </c>
      <c r="B138" s="138" t="s">
        <v>267</v>
      </c>
      <c r="C138" s="147"/>
      <c r="D138" s="138"/>
      <c r="E138" s="138"/>
      <c r="F138" s="142">
        <f t="shared" ref="F138:H140" si="25">F139</f>
        <v>1925.4715600000002</v>
      </c>
      <c r="G138" s="142">
        <f t="shared" si="25"/>
        <v>0</v>
      </c>
      <c r="H138" s="143">
        <f t="shared" si="25"/>
        <v>0</v>
      </c>
    </row>
    <row r="139" spans="1:8" s="55" customFormat="1" ht="39" hidden="1" thickBot="1" x14ac:dyDescent="0.3">
      <c r="A139" s="137" t="s">
        <v>31</v>
      </c>
      <c r="B139" s="138" t="s">
        <v>267</v>
      </c>
      <c r="C139" s="148">
        <v>200</v>
      </c>
      <c r="D139" s="138"/>
      <c r="E139" s="138"/>
      <c r="F139" s="142">
        <f t="shared" si="25"/>
        <v>1925.4715600000002</v>
      </c>
      <c r="G139" s="142">
        <f t="shared" si="25"/>
        <v>0</v>
      </c>
      <c r="H139" s="143">
        <f t="shared" si="25"/>
        <v>0</v>
      </c>
    </row>
    <row r="140" spans="1:8" s="55" customFormat="1" ht="51.75" hidden="1" thickBot="1" x14ac:dyDescent="0.3">
      <c r="A140" s="146" t="s">
        <v>67</v>
      </c>
      <c r="B140" s="138" t="s">
        <v>267</v>
      </c>
      <c r="C140" s="148">
        <v>240</v>
      </c>
      <c r="D140" s="138"/>
      <c r="E140" s="138"/>
      <c r="F140" s="142">
        <f t="shared" si="25"/>
        <v>1925.4715600000002</v>
      </c>
      <c r="G140" s="142">
        <f t="shared" si="25"/>
        <v>0</v>
      </c>
      <c r="H140" s="143">
        <f t="shared" si="25"/>
        <v>0</v>
      </c>
    </row>
    <row r="141" spans="1:8" s="55" customFormat="1" ht="16.5" hidden="1" thickBot="1" x14ac:dyDescent="0.3">
      <c r="A141" s="146" t="s">
        <v>61</v>
      </c>
      <c r="B141" s="138" t="s">
        <v>267</v>
      </c>
      <c r="C141" s="148">
        <v>240</v>
      </c>
      <c r="D141" s="138" t="s">
        <v>57</v>
      </c>
      <c r="E141" s="138" t="s">
        <v>40</v>
      </c>
      <c r="F141" s="142">
        <f>пр.4!G200</f>
        <v>1925.4715600000002</v>
      </c>
      <c r="G141" s="142">
        <f>пр.4!H200</f>
        <v>0</v>
      </c>
      <c r="H141" s="143">
        <f>пр.4!I200</f>
        <v>0</v>
      </c>
    </row>
    <row r="142" spans="1:8" s="55" customFormat="1" ht="51.75" hidden="1" thickBot="1" x14ac:dyDescent="0.3">
      <c r="A142" s="324" t="s">
        <v>268</v>
      </c>
      <c r="B142" s="139" t="s">
        <v>270</v>
      </c>
      <c r="C142" s="326"/>
      <c r="D142" s="139"/>
      <c r="E142" s="139"/>
      <c r="F142" s="140">
        <f>F143</f>
        <v>2340</v>
      </c>
      <c r="G142" s="140">
        <f>G143</f>
        <v>1000</v>
      </c>
      <c r="H142" s="141">
        <f>H143</f>
        <v>1000</v>
      </c>
    </row>
    <row r="143" spans="1:8" s="55" customFormat="1" ht="26.25" hidden="1" thickBot="1" x14ac:dyDescent="0.3">
      <c r="A143" s="137" t="s">
        <v>269</v>
      </c>
      <c r="B143" s="138" t="s">
        <v>271</v>
      </c>
      <c r="C143" s="147"/>
      <c r="D143" s="138"/>
      <c r="E143" s="138"/>
      <c r="F143" s="142">
        <f>F145</f>
        <v>2340</v>
      </c>
      <c r="G143" s="142">
        <f>G145</f>
        <v>1000</v>
      </c>
      <c r="H143" s="143">
        <f>H145</f>
        <v>1000</v>
      </c>
    </row>
    <row r="144" spans="1:8" s="55" customFormat="1" ht="39" hidden="1" thickBot="1" x14ac:dyDescent="0.3">
      <c r="A144" s="137" t="s">
        <v>31</v>
      </c>
      <c r="B144" s="138" t="s">
        <v>271</v>
      </c>
      <c r="C144" s="148">
        <v>200</v>
      </c>
      <c r="D144" s="138"/>
      <c r="E144" s="138"/>
      <c r="F144" s="142">
        <f t="shared" ref="F144:H145" si="26">F145</f>
        <v>2340</v>
      </c>
      <c r="G144" s="142">
        <f t="shared" si="26"/>
        <v>1000</v>
      </c>
      <c r="H144" s="143">
        <f t="shared" si="26"/>
        <v>1000</v>
      </c>
    </row>
    <row r="145" spans="1:8" s="55" customFormat="1" ht="51.75" hidden="1" thickBot="1" x14ac:dyDescent="0.3">
      <c r="A145" s="146" t="s">
        <v>67</v>
      </c>
      <c r="B145" s="138" t="s">
        <v>271</v>
      </c>
      <c r="C145" s="148">
        <v>240</v>
      </c>
      <c r="D145" s="138"/>
      <c r="E145" s="138"/>
      <c r="F145" s="142">
        <f t="shared" si="26"/>
        <v>2340</v>
      </c>
      <c r="G145" s="142">
        <f t="shared" si="26"/>
        <v>1000</v>
      </c>
      <c r="H145" s="143">
        <f t="shared" si="26"/>
        <v>1000</v>
      </c>
    </row>
    <row r="146" spans="1:8" s="55" customFormat="1" ht="16.5" hidden="1" thickBot="1" x14ac:dyDescent="0.3">
      <c r="A146" s="347" t="s">
        <v>61</v>
      </c>
      <c r="B146" s="149" t="s">
        <v>271</v>
      </c>
      <c r="C146" s="150">
        <v>240</v>
      </c>
      <c r="D146" s="149" t="s">
        <v>57</v>
      </c>
      <c r="E146" s="149" t="s">
        <v>40</v>
      </c>
      <c r="F146" s="151">
        <f>пр.4!G204</f>
        <v>2340</v>
      </c>
      <c r="G146" s="151">
        <f>пр.4!H204</f>
        <v>1000</v>
      </c>
      <c r="H146" s="152">
        <f>пр.4!I204</f>
        <v>1000</v>
      </c>
    </row>
    <row r="147" spans="1:8" s="55" customFormat="1" ht="90" hidden="1" thickBot="1" x14ac:dyDescent="0.3">
      <c r="A147" s="153" t="s">
        <v>379</v>
      </c>
      <c r="B147" s="59" t="s">
        <v>62</v>
      </c>
      <c r="C147" s="59"/>
      <c r="D147" s="67"/>
      <c r="E147" s="67"/>
      <c r="F147" s="68">
        <f>SUM(F148)</f>
        <v>100</v>
      </c>
      <c r="G147" s="68">
        <f>SUM(G148)</f>
        <v>100</v>
      </c>
      <c r="H147" s="69">
        <f>SUM(H148)</f>
        <v>100</v>
      </c>
    </row>
    <row r="148" spans="1:8" s="55" customFormat="1" ht="27.75" hidden="1" thickBot="1" x14ac:dyDescent="0.3">
      <c r="A148" s="185" t="s">
        <v>232</v>
      </c>
      <c r="B148" s="186" t="s">
        <v>272</v>
      </c>
      <c r="C148" s="108"/>
      <c r="D148" s="311"/>
      <c r="E148" s="311"/>
      <c r="F148" s="110">
        <f>SUM(F150)</f>
        <v>100</v>
      </c>
      <c r="G148" s="110">
        <f>SUM(G150)</f>
        <v>100</v>
      </c>
      <c r="H148" s="111">
        <f>SUM(H150)</f>
        <v>100</v>
      </c>
    </row>
    <row r="149" spans="1:8" s="55" customFormat="1" ht="102.75" hidden="1" thickBot="1" x14ac:dyDescent="0.3">
      <c r="A149" s="89" t="s">
        <v>380</v>
      </c>
      <c r="B149" s="112" t="s">
        <v>273</v>
      </c>
      <c r="C149" s="87"/>
      <c r="D149" s="88"/>
      <c r="E149" s="88"/>
      <c r="F149" s="73">
        <f t="shared" ref="F149:H152" si="27">F150</f>
        <v>100</v>
      </c>
      <c r="G149" s="73">
        <f t="shared" si="27"/>
        <v>100</v>
      </c>
      <c r="H149" s="74">
        <f t="shared" si="27"/>
        <v>100</v>
      </c>
    </row>
    <row r="150" spans="1:8" s="55" customFormat="1" ht="39" hidden="1" thickBot="1" x14ac:dyDescent="0.3">
      <c r="A150" s="9" t="s">
        <v>63</v>
      </c>
      <c r="B150" s="5" t="s">
        <v>274</v>
      </c>
      <c r="C150" s="56"/>
      <c r="D150" s="76"/>
      <c r="E150" s="76"/>
      <c r="F150" s="3">
        <f t="shared" si="27"/>
        <v>100</v>
      </c>
      <c r="G150" s="3">
        <f t="shared" si="27"/>
        <v>100</v>
      </c>
      <c r="H150" s="77">
        <f t="shared" si="27"/>
        <v>100</v>
      </c>
    </row>
    <row r="151" spans="1:8" s="55" customFormat="1" ht="39" hidden="1" thickBot="1" x14ac:dyDescent="0.3">
      <c r="A151" s="75" t="s">
        <v>31</v>
      </c>
      <c r="B151" s="5" t="s">
        <v>274</v>
      </c>
      <c r="C151" s="56">
        <v>200</v>
      </c>
      <c r="D151" s="76"/>
      <c r="E151" s="76"/>
      <c r="F151" s="3">
        <f t="shared" si="27"/>
        <v>100</v>
      </c>
      <c r="G151" s="3">
        <f t="shared" si="27"/>
        <v>100</v>
      </c>
      <c r="H151" s="77">
        <f t="shared" si="27"/>
        <v>100</v>
      </c>
    </row>
    <row r="152" spans="1:8" s="55" customFormat="1" ht="51.75" hidden="1" thickBot="1" x14ac:dyDescent="0.3">
      <c r="A152" s="10" t="s">
        <v>67</v>
      </c>
      <c r="B152" s="5" t="s">
        <v>274</v>
      </c>
      <c r="C152" s="56">
        <v>240</v>
      </c>
      <c r="D152" s="76"/>
      <c r="E152" s="76"/>
      <c r="F152" s="3">
        <f t="shared" si="27"/>
        <v>100</v>
      </c>
      <c r="G152" s="3">
        <f t="shared" si="27"/>
        <v>100</v>
      </c>
      <c r="H152" s="77">
        <f t="shared" si="27"/>
        <v>100</v>
      </c>
    </row>
    <row r="153" spans="1:8" s="55" customFormat="1" ht="16.5" hidden="1" thickBot="1" x14ac:dyDescent="0.3">
      <c r="A153" s="338" t="s">
        <v>61</v>
      </c>
      <c r="B153" s="5" t="s">
        <v>274</v>
      </c>
      <c r="C153" s="56">
        <v>240</v>
      </c>
      <c r="D153" s="76" t="s">
        <v>57</v>
      </c>
      <c r="E153" s="76" t="s">
        <v>40</v>
      </c>
      <c r="F153" s="3">
        <f>пр.4!G210</f>
        <v>100</v>
      </c>
      <c r="G153" s="3">
        <f>пр.4!H210</f>
        <v>100</v>
      </c>
      <c r="H153" s="77">
        <f>пр.4!I210</f>
        <v>100</v>
      </c>
    </row>
    <row r="154" spans="1:8" s="55" customFormat="1" ht="141" hidden="1" thickBot="1" x14ac:dyDescent="0.3">
      <c r="A154" s="157" t="s">
        <v>381</v>
      </c>
      <c r="B154" s="158" t="s">
        <v>333</v>
      </c>
      <c r="C154" s="159"/>
      <c r="D154" s="160"/>
      <c r="E154" s="160"/>
      <c r="F154" s="68">
        <f>F155</f>
        <v>1700</v>
      </c>
      <c r="G154" s="68">
        <f t="shared" ref="F154:H155" si="28">G155</f>
        <v>80</v>
      </c>
      <c r="H154" s="69">
        <f t="shared" si="28"/>
        <v>80</v>
      </c>
    </row>
    <row r="155" spans="1:8" s="55" customFormat="1" ht="27.75" hidden="1" thickBot="1" x14ac:dyDescent="0.3">
      <c r="A155" s="213" t="s">
        <v>232</v>
      </c>
      <c r="B155" s="214" t="s">
        <v>275</v>
      </c>
      <c r="C155" s="318"/>
      <c r="D155" s="319"/>
      <c r="E155" s="319"/>
      <c r="F155" s="71">
        <f t="shared" si="28"/>
        <v>1700</v>
      </c>
      <c r="G155" s="71">
        <f t="shared" si="28"/>
        <v>80</v>
      </c>
      <c r="H155" s="72">
        <f t="shared" si="28"/>
        <v>80</v>
      </c>
    </row>
    <row r="156" spans="1:8" s="55" customFormat="1" ht="51.75" hidden="1" thickBot="1" x14ac:dyDescent="0.3">
      <c r="A156" s="89" t="s">
        <v>268</v>
      </c>
      <c r="B156" s="112" t="s">
        <v>276</v>
      </c>
      <c r="C156" s="87"/>
      <c r="D156" s="88"/>
      <c r="E156" s="88"/>
      <c r="F156" s="73">
        <f>F158</f>
        <v>1700</v>
      </c>
      <c r="G156" s="73">
        <f>G158</f>
        <v>80</v>
      </c>
      <c r="H156" s="74">
        <f>H158</f>
        <v>80</v>
      </c>
    </row>
    <row r="157" spans="1:8" s="55" customFormat="1" ht="51.75" hidden="1" thickBot="1" x14ac:dyDescent="0.3">
      <c r="A157" s="89" t="s">
        <v>277</v>
      </c>
      <c r="B157" s="112" t="s">
        <v>278</v>
      </c>
      <c r="C157" s="56"/>
      <c r="D157" s="76"/>
      <c r="E157" s="76"/>
      <c r="F157" s="3">
        <f t="shared" ref="F157:H159" si="29">F158</f>
        <v>1700</v>
      </c>
      <c r="G157" s="3">
        <f t="shared" si="29"/>
        <v>80</v>
      </c>
      <c r="H157" s="77">
        <f t="shared" si="29"/>
        <v>80</v>
      </c>
    </row>
    <row r="158" spans="1:8" s="55" customFormat="1" ht="39" hidden="1" thickBot="1" x14ac:dyDescent="0.3">
      <c r="A158" s="161" t="s">
        <v>31</v>
      </c>
      <c r="B158" s="5" t="s">
        <v>278</v>
      </c>
      <c r="C158" s="56">
        <v>200</v>
      </c>
      <c r="D158" s="76"/>
      <c r="E158" s="76"/>
      <c r="F158" s="3">
        <f t="shared" si="29"/>
        <v>1700</v>
      </c>
      <c r="G158" s="3">
        <f t="shared" si="29"/>
        <v>80</v>
      </c>
      <c r="H158" s="77">
        <f t="shared" si="29"/>
        <v>80</v>
      </c>
    </row>
    <row r="159" spans="1:8" s="55" customFormat="1" ht="51.75" hidden="1" thickBot="1" x14ac:dyDescent="0.3">
      <c r="A159" s="117" t="s">
        <v>67</v>
      </c>
      <c r="B159" s="5" t="s">
        <v>278</v>
      </c>
      <c r="C159" s="56">
        <v>240</v>
      </c>
      <c r="D159" s="76"/>
      <c r="E159" s="76"/>
      <c r="F159" s="3">
        <f t="shared" si="29"/>
        <v>1700</v>
      </c>
      <c r="G159" s="3">
        <f t="shared" si="29"/>
        <v>80</v>
      </c>
      <c r="H159" s="77">
        <f t="shared" si="29"/>
        <v>80</v>
      </c>
    </row>
    <row r="160" spans="1:8" s="55" customFormat="1" ht="16.5" hidden="1" thickBot="1" x14ac:dyDescent="0.3">
      <c r="A160" s="162" t="s">
        <v>61</v>
      </c>
      <c r="B160" s="130" t="s">
        <v>278</v>
      </c>
      <c r="C160" s="57">
        <v>240</v>
      </c>
      <c r="D160" s="163" t="s">
        <v>57</v>
      </c>
      <c r="E160" s="163" t="s">
        <v>40</v>
      </c>
      <c r="F160" s="164">
        <f>пр.4!G216</f>
        <v>1700</v>
      </c>
      <c r="G160" s="164">
        <f>пр.4!H216</f>
        <v>80</v>
      </c>
      <c r="H160" s="165">
        <f>пр.4!I216</f>
        <v>80</v>
      </c>
    </row>
    <row r="161" spans="1:8" s="55" customFormat="1" ht="77.25" hidden="1" thickBot="1" x14ac:dyDescent="0.3">
      <c r="A161" s="157" t="s">
        <v>382</v>
      </c>
      <c r="B161" s="158" t="s">
        <v>334</v>
      </c>
      <c r="C161" s="159"/>
      <c r="D161" s="160"/>
      <c r="E161" s="160"/>
      <c r="F161" s="166">
        <f>F168+F162</f>
        <v>100</v>
      </c>
      <c r="G161" s="166">
        <f>G168+G162</f>
        <v>100</v>
      </c>
      <c r="H161" s="167">
        <f>H168+H162</f>
        <v>100</v>
      </c>
    </row>
    <row r="162" spans="1:8" s="55" customFormat="1" ht="27.75" hidden="1" thickBot="1" x14ac:dyDescent="0.3">
      <c r="A162" s="327" t="s">
        <v>232</v>
      </c>
      <c r="B162" s="328" t="s">
        <v>298</v>
      </c>
      <c r="C162" s="329"/>
      <c r="D162" s="329"/>
      <c r="E162" s="329"/>
      <c r="F162" s="282">
        <f t="shared" ref="F162:H166" si="30">F163</f>
        <v>50</v>
      </c>
      <c r="G162" s="282">
        <f t="shared" si="30"/>
        <v>50</v>
      </c>
      <c r="H162" s="283">
        <f t="shared" si="30"/>
        <v>50</v>
      </c>
    </row>
    <row r="163" spans="1:8" s="55" customFormat="1" ht="51.75" hidden="1" thickBot="1" x14ac:dyDescent="0.3">
      <c r="A163" s="168" t="s">
        <v>299</v>
      </c>
      <c r="B163" s="139" t="s">
        <v>300</v>
      </c>
      <c r="C163" s="104"/>
      <c r="D163" s="104"/>
      <c r="E163" s="104"/>
      <c r="F163" s="252">
        <f t="shared" si="30"/>
        <v>50</v>
      </c>
      <c r="G163" s="252">
        <f t="shared" si="30"/>
        <v>50</v>
      </c>
      <c r="H163" s="253">
        <f t="shared" si="30"/>
        <v>50</v>
      </c>
    </row>
    <row r="164" spans="1:8" s="55" customFormat="1" ht="26.25" hidden="1" thickBot="1" x14ac:dyDescent="0.3">
      <c r="A164" s="137" t="s">
        <v>302</v>
      </c>
      <c r="B164" s="138" t="s">
        <v>301</v>
      </c>
      <c r="C164" s="1"/>
      <c r="D164" s="1"/>
      <c r="E164" s="1"/>
      <c r="F164" s="6">
        <f t="shared" si="30"/>
        <v>50</v>
      </c>
      <c r="G164" s="6">
        <f t="shared" si="30"/>
        <v>50</v>
      </c>
      <c r="H164" s="11">
        <f t="shared" si="30"/>
        <v>50</v>
      </c>
    </row>
    <row r="165" spans="1:8" s="55" customFormat="1" ht="39" hidden="1" thickBot="1" x14ac:dyDescent="0.3">
      <c r="A165" s="161" t="s">
        <v>31</v>
      </c>
      <c r="B165" s="138" t="s">
        <v>301</v>
      </c>
      <c r="C165" s="1" t="s">
        <v>66</v>
      </c>
      <c r="D165" s="1"/>
      <c r="E165" s="1"/>
      <c r="F165" s="6">
        <f t="shared" si="30"/>
        <v>50</v>
      </c>
      <c r="G165" s="6">
        <f t="shared" si="30"/>
        <v>50</v>
      </c>
      <c r="H165" s="11">
        <f t="shared" si="30"/>
        <v>50</v>
      </c>
    </row>
    <row r="166" spans="1:8" s="55" customFormat="1" ht="51.75" hidden="1" thickBot="1" x14ac:dyDescent="0.3">
      <c r="A166" s="117" t="s">
        <v>67</v>
      </c>
      <c r="B166" s="138" t="s">
        <v>301</v>
      </c>
      <c r="C166" s="1" t="s">
        <v>68</v>
      </c>
      <c r="D166" s="1"/>
      <c r="E166" s="1"/>
      <c r="F166" s="6">
        <f t="shared" si="30"/>
        <v>50</v>
      </c>
      <c r="G166" s="6">
        <f t="shared" si="30"/>
        <v>50</v>
      </c>
      <c r="H166" s="11">
        <f t="shared" si="30"/>
        <v>50</v>
      </c>
    </row>
    <row r="167" spans="1:8" s="55" customFormat="1" ht="16.5" hidden="1" thickBot="1" x14ac:dyDescent="0.3">
      <c r="A167" s="117" t="s">
        <v>61</v>
      </c>
      <c r="B167" s="138" t="s">
        <v>301</v>
      </c>
      <c r="C167" s="1" t="s">
        <v>68</v>
      </c>
      <c r="D167" s="1" t="s">
        <v>57</v>
      </c>
      <c r="E167" s="1" t="s">
        <v>40</v>
      </c>
      <c r="F167" s="6">
        <f>пр.4!G222</f>
        <v>50</v>
      </c>
      <c r="G167" s="6">
        <f>пр.4!H222</f>
        <v>50</v>
      </c>
      <c r="H167" s="11">
        <f>пр.4!I222</f>
        <v>50</v>
      </c>
    </row>
    <row r="168" spans="1:8" s="55" customFormat="1" ht="16.5" hidden="1" thickBot="1" x14ac:dyDescent="0.3">
      <c r="A168" s="193" t="s">
        <v>410</v>
      </c>
      <c r="B168" s="194" t="s">
        <v>321</v>
      </c>
      <c r="C168" s="113"/>
      <c r="D168" s="308"/>
      <c r="E168" s="308"/>
      <c r="F168" s="256">
        <f>F170</f>
        <v>50</v>
      </c>
      <c r="G168" s="256">
        <f>G170</f>
        <v>50</v>
      </c>
      <c r="H168" s="257">
        <f>H170</f>
        <v>50</v>
      </c>
    </row>
    <row r="169" spans="1:8" s="55" customFormat="1" ht="39" hidden="1" thickBot="1" x14ac:dyDescent="0.3">
      <c r="A169" s="89" t="s">
        <v>320</v>
      </c>
      <c r="B169" s="112" t="s">
        <v>322</v>
      </c>
      <c r="C169" s="87"/>
      <c r="D169" s="88"/>
      <c r="E169" s="88"/>
      <c r="F169" s="252">
        <f t="shared" ref="F169:H172" si="31">F170</f>
        <v>50</v>
      </c>
      <c r="G169" s="252">
        <f t="shared" si="31"/>
        <v>50</v>
      </c>
      <c r="H169" s="253">
        <f t="shared" si="31"/>
        <v>50</v>
      </c>
    </row>
    <row r="170" spans="1:8" s="55" customFormat="1" ht="90" hidden="1" thickBot="1" x14ac:dyDescent="0.3">
      <c r="A170" s="9" t="s">
        <v>383</v>
      </c>
      <c r="B170" s="5" t="s">
        <v>323</v>
      </c>
      <c r="C170" s="56"/>
      <c r="D170" s="76"/>
      <c r="E170" s="76"/>
      <c r="F170" s="6">
        <f t="shared" si="31"/>
        <v>50</v>
      </c>
      <c r="G170" s="6">
        <f t="shared" si="31"/>
        <v>50</v>
      </c>
      <c r="H170" s="11">
        <f t="shared" si="31"/>
        <v>50</v>
      </c>
    </row>
    <row r="171" spans="1:8" s="55" customFormat="1" ht="39" hidden="1" thickBot="1" x14ac:dyDescent="0.3">
      <c r="A171" s="161" t="s">
        <v>31</v>
      </c>
      <c r="B171" s="85" t="s">
        <v>323</v>
      </c>
      <c r="C171" s="56">
        <v>200</v>
      </c>
      <c r="D171" s="76"/>
      <c r="E171" s="76"/>
      <c r="F171" s="6">
        <f t="shared" si="31"/>
        <v>50</v>
      </c>
      <c r="G171" s="6">
        <f t="shared" si="31"/>
        <v>50</v>
      </c>
      <c r="H171" s="11">
        <f t="shared" si="31"/>
        <v>50</v>
      </c>
    </row>
    <row r="172" spans="1:8" s="55" customFormat="1" ht="51.75" hidden="1" thickBot="1" x14ac:dyDescent="0.3">
      <c r="A172" s="117" t="s">
        <v>67</v>
      </c>
      <c r="B172" s="85" t="s">
        <v>323</v>
      </c>
      <c r="C172" s="56">
        <v>240</v>
      </c>
      <c r="D172" s="76"/>
      <c r="E172" s="76"/>
      <c r="F172" s="6">
        <f t="shared" si="31"/>
        <v>50</v>
      </c>
      <c r="G172" s="6">
        <f t="shared" si="31"/>
        <v>50</v>
      </c>
      <c r="H172" s="11">
        <f t="shared" si="31"/>
        <v>50</v>
      </c>
    </row>
    <row r="173" spans="1:8" s="55" customFormat="1" ht="16.5" hidden="1" thickBot="1" x14ac:dyDescent="0.3">
      <c r="A173" s="162" t="s">
        <v>61</v>
      </c>
      <c r="B173" s="169" t="s">
        <v>323</v>
      </c>
      <c r="C173" s="57">
        <v>240</v>
      </c>
      <c r="D173" s="163" t="s">
        <v>57</v>
      </c>
      <c r="E173" s="163" t="s">
        <v>40</v>
      </c>
      <c r="F173" s="170">
        <f>пр.4!G227</f>
        <v>50</v>
      </c>
      <c r="G173" s="170">
        <f>пр.4!H227</f>
        <v>50</v>
      </c>
      <c r="H173" s="171">
        <f>пр.4!I227</f>
        <v>50</v>
      </c>
    </row>
    <row r="174" spans="1:8" s="55" customFormat="1" ht="90" hidden="1" thickBot="1" x14ac:dyDescent="0.3">
      <c r="A174" s="66" t="s">
        <v>384</v>
      </c>
      <c r="B174" s="172" t="s">
        <v>64</v>
      </c>
      <c r="C174" s="172"/>
      <c r="D174" s="172"/>
      <c r="E174" s="172"/>
      <c r="F174" s="68">
        <f t="shared" ref="F174:H175" si="32">F175</f>
        <v>21839.96038</v>
      </c>
      <c r="G174" s="68">
        <f t="shared" si="32"/>
        <v>1500</v>
      </c>
      <c r="H174" s="69">
        <f t="shared" si="32"/>
        <v>1000</v>
      </c>
    </row>
    <row r="175" spans="1:8" s="55" customFormat="1" ht="16.5" hidden="1" thickBot="1" x14ac:dyDescent="0.3">
      <c r="A175" s="193" t="s">
        <v>422</v>
      </c>
      <c r="B175" s="194" t="s">
        <v>319</v>
      </c>
      <c r="C175" s="194"/>
      <c r="D175" s="194"/>
      <c r="E175" s="194"/>
      <c r="F175" s="100">
        <f t="shared" si="32"/>
        <v>21839.96038</v>
      </c>
      <c r="G175" s="100">
        <f t="shared" si="32"/>
        <v>1500</v>
      </c>
      <c r="H175" s="101">
        <f t="shared" si="32"/>
        <v>1000</v>
      </c>
    </row>
    <row r="176" spans="1:8" s="55" customFormat="1" ht="39" hidden="1" thickBot="1" x14ac:dyDescent="0.3">
      <c r="A176" s="89" t="s">
        <v>318</v>
      </c>
      <c r="B176" s="112" t="s">
        <v>455</v>
      </c>
      <c r="C176" s="104"/>
      <c r="D176" s="104"/>
      <c r="E176" s="104"/>
      <c r="F176" s="73">
        <f>F178</f>
        <v>21839.96038</v>
      </c>
      <c r="G176" s="73">
        <f>G178</f>
        <v>1500</v>
      </c>
      <c r="H176" s="74">
        <f>H178</f>
        <v>1000</v>
      </c>
    </row>
    <row r="177" spans="1:8" s="55" customFormat="1" ht="39" hidden="1" thickBot="1" x14ac:dyDescent="0.3">
      <c r="A177" s="9" t="s">
        <v>153</v>
      </c>
      <c r="B177" s="5" t="s">
        <v>456</v>
      </c>
      <c r="C177" s="1"/>
      <c r="D177" s="1"/>
      <c r="E177" s="1"/>
      <c r="F177" s="3">
        <f t="shared" ref="F177:H179" si="33">F178</f>
        <v>21839.96038</v>
      </c>
      <c r="G177" s="3">
        <f t="shared" si="33"/>
        <v>1500</v>
      </c>
      <c r="H177" s="77">
        <f t="shared" si="33"/>
        <v>1000</v>
      </c>
    </row>
    <row r="178" spans="1:8" s="55" customFormat="1" ht="39" hidden="1" thickBot="1" x14ac:dyDescent="0.3">
      <c r="A178" s="156" t="s">
        <v>65</v>
      </c>
      <c r="B178" s="1" t="s">
        <v>456</v>
      </c>
      <c r="C178" s="1" t="s">
        <v>66</v>
      </c>
      <c r="D178" s="1"/>
      <c r="E178" s="1"/>
      <c r="F178" s="3">
        <f t="shared" si="33"/>
        <v>21839.96038</v>
      </c>
      <c r="G178" s="3">
        <f t="shared" si="33"/>
        <v>1500</v>
      </c>
      <c r="H178" s="77">
        <f t="shared" si="33"/>
        <v>1000</v>
      </c>
    </row>
    <row r="179" spans="1:8" s="55" customFormat="1" ht="51.75" hidden="1" thickBot="1" x14ac:dyDescent="0.3">
      <c r="A179" s="117" t="s">
        <v>67</v>
      </c>
      <c r="B179" s="1" t="s">
        <v>456</v>
      </c>
      <c r="C179" s="5" t="s">
        <v>68</v>
      </c>
      <c r="D179" s="1"/>
      <c r="E179" s="1"/>
      <c r="F179" s="3">
        <f t="shared" si="33"/>
        <v>21839.96038</v>
      </c>
      <c r="G179" s="3">
        <f t="shared" si="33"/>
        <v>1500</v>
      </c>
      <c r="H179" s="77">
        <f t="shared" si="33"/>
        <v>1000</v>
      </c>
    </row>
    <row r="180" spans="1:8" s="55" customFormat="1" ht="16.5" hidden="1" thickBot="1" x14ac:dyDescent="0.3">
      <c r="A180" s="162" t="s">
        <v>61</v>
      </c>
      <c r="B180" s="163" t="s">
        <v>456</v>
      </c>
      <c r="C180" s="130" t="s">
        <v>68</v>
      </c>
      <c r="D180" s="163" t="s">
        <v>57</v>
      </c>
      <c r="E180" s="163" t="s">
        <v>40</v>
      </c>
      <c r="F180" s="164">
        <f>пр.4!G233</f>
        <v>21839.96038</v>
      </c>
      <c r="G180" s="164">
        <f>пр.4!H233</f>
        <v>1500</v>
      </c>
      <c r="H180" s="165">
        <f>пр.4!I233</f>
        <v>1000</v>
      </c>
    </row>
    <row r="181" spans="1:8" s="174" customFormat="1" ht="65.25" hidden="1" thickBot="1" x14ac:dyDescent="0.3">
      <c r="A181" s="173" t="s">
        <v>374</v>
      </c>
      <c r="B181" s="172" t="s">
        <v>290</v>
      </c>
      <c r="C181" s="59"/>
      <c r="D181" s="67"/>
      <c r="E181" s="67"/>
      <c r="F181" s="68">
        <f t="shared" ref="F181:H182" si="34">F182</f>
        <v>5</v>
      </c>
      <c r="G181" s="68">
        <f t="shared" si="34"/>
        <v>5</v>
      </c>
      <c r="H181" s="69">
        <f t="shared" si="34"/>
        <v>5</v>
      </c>
    </row>
    <row r="182" spans="1:8" s="55" customFormat="1" ht="27.75" hidden="1" thickBot="1" x14ac:dyDescent="0.3">
      <c r="A182" s="330" t="s">
        <v>433</v>
      </c>
      <c r="B182" s="214" t="s">
        <v>291</v>
      </c>
      <c r="C182" s="318"/>
      <c r="D182" s="319"/>
      <c r="E182" s="319"/>
      <c r="F182" s="71">
        <f t="shared" si="34"/>
        <v>5</v>
      </c>
      <c r="G182" s="71">
        <f t="shared" si="34"/>
        <v>5</v>
      </c>
      <c r="H182" s="72">
        <f t="shared" si="34"/>
        <v>5</v>
      </c>
    </row>
    <row r="183" spans="1:8" s="55" customFormat="1" ht="116.25" hidden="1" thickBot="1" x14ac:dyDescent="0.3">
      <c r="A183" s="279" t="s">
        <v>419</v>
      </c>
      <c r="B183" s="112" t="s">
        <v>292</v>
      </c>
      <c r="C183" s="87"/>
      <c r="D183" s="88"/>
      <c r="E183" s="88"/>
      <c r="F183" s="73">
        <f>F185</f>
        <v>5</v>
      </c>
      <c r="G183" s="73">
        <f>G185</f>
        <v>5</v>
      </c>
      <c r="H183" s="74">
        <f>H185</f>
        <v>5</v>
      </c>
    </row>
    <row r="184" spans="1:8" s="55" customFormat="1" ht="78" hidden="1" thickBot="1" x14ac:dyDescent="0.3">
      <c r="A184" s="175" t="s">
        <v>294</v>
      </c>
      <c r="B184" s="5" t="s">
        <v>293</v>
      </c>
      <c r="C184" s="56"/>
      <c r="D184" s="76"/>
      <c r="E184" s="76"/>
      <c r="F184" s="3">
        <f t="shared" ref="F184:H186" si="35">F185</f>
        <v>5</v>
      </c>
      <c r="G184" s="3">
        <f t="shared" si="35"/>
        <v>5</v>
      </c>
      <c r="H184" s="77">
        <f t="shared" si="35"/>
        <v>5</v>
      </c>
    </row>
    <row r="185" spans="1:8" s="55" customFormat="1" ht="39" hidden="1" thickBot="1" x14ac:dyDescent="0.3">
      <c r="A185" s="75" t="s">
        <v>31</v>
      </c>
      <c r="B185" s="5" t="s">
        <v>293</v>
      </c>
      <c r="C185" s="56">
        <v>200</v>
      </c>
      <c r="D185" s="76"/>
      <c r="E185" s="76"/>
      <c r="F185" s="3">
        <f t="shared" si="35"/>
        <v>5</v>
      </c>
      <c r="G185" s="3">
        <f t="shared" si="35"/>
        <v>5</v>
      </c>
      <c r="H185" s="77">
        <f t="shared" si="35"/>
        <v>5</v>
      </c>
    </row>
    <row r="186" spans="1:8" s="55" customFormat="1" ht="51.75" hidden="1" thickBot="1" x14ac:dyDescent="0.3">
      <c r="A186" s="10" t="s">
        <v>67</v>
      </c>
      <c r="B186" s="5" t="s">
        <v>293</v>
      </c>
      <c r="C186" s="56">
        <v>240</v>
      </c>
      <c r="D186" s="76"/>
      <c r="E186" s="76"/>
      <c r="F186" s="3">
        <f t="shared" si="35"/>
        <v>5</v>
      </c>
      <c r="G186" s="3">
        <f t="shared" si="35"/>
        <v>5</v>
      </c>
      <c r="H186" s="77">
        <f t="shared" si="35"/>
        <v>5</v>
      </c>
    </row>
    <row r="187" spans="1:8" s="55" customFormat="1" ht="15" hidden="1" customHeight="1" thickBot="1" x14ac:dyDescent="0.3">
      <c r="A187" s="255" t="s">
        <v>295</v>
      </c>
      <c r="B187" s="130" t="s">
        <v>293</v>
      </c>
      <c r="C187" s="57">
        <v>240</v>
      </c>
      <c r="D187" s="131" t="s">
        <v>40</v>
      </c>
      <c r="E187" s="131" t="s">
        <v>118</v>
      </c>
      <c r="F187" s="164">
        <f>пр.4!G105</f>
        <v>5</v>
      </c>
      <c r="G187" s="164">
        <f>пр.4!H105</f>
        <v>5</v>
      </c>
      <c r="H187" s="165">
        <f>пр.4!I105</f>
        <v>5</v>
      </c>
    </row>
    <row r="188" spans="1:8" s="55" customFormat="1" ht="166.5" hidden="1" thickBot="1" x14ac:dyDescent="0.3">
      <c r="A188" s="66" t="s">
        <v>354</v>
      </c>
      <c r="B188" s="59" t="s">
        <v>364</v>
      </c>
      <c r="C188" s="59"/>
      <c r="D188" s="67"/>
      <c r="E188" s="67"/>
      <c r="F188" s="68">
        <f t="shared" ref="F188:H193" si="36">F189</f>
        <v>2364.0216</v>
      </c>
      <c r="G188" s="68">
        <f t="shared" si="36"/>
        <v>0</v>
      </c>
      <c r="H188" s="69">
        <f t="shared" si="36"/>
        <v>0</v>
      </c>
    </row>
    <row r="189" spans="1:8" s="55" customFormat="1" ht="27.75" hidden="1" thickBot="1" x14ac:dyDescent="0.3">
      <c r="A189" s="331" t="s">
        <v>232</v>
      </c>
      <c r="B189" s="318" t="s">
        <v>365</v>
      </c>
      <c r="C189" s="318"/>
      <c r="D189" s="319"/>
      <c r="E189" s="319"/>
      <c r="F189" s="71">
        <f t="shared" si="36"/>
        <v>2364.0216</v>
      </c>
      <c r="G189" s="71">
        <f t="shared" si="36"/>
        <v>0</v>
      </c>
      <c r="H189" s="72">
        <f t="shared" si="36"/>
        <v>0</v>
      </c>
    </row>
    <row r="190" spans="1:8" s="55" customFormat="1" ht="64.5" hidden="1" thickBot="1" x14ac:dyDescent="0.3">
      <c r="A190" s="154" t="s">
        <v>362</v>
      </c>
      <c r="B190" s="87" t="s">
        <v>366</v>
      </c>
      <c r="C190" s="87"/>
      <c r="D190" s="88"/>
      <c r="E190" s="88"/>
      <c r="F190" s="73">
        <f t="shared" si="36"/>
        <v>2364.0216</v>
      </c>
      <c r="G190" s="73">
        <f t="shared" si="36"/>
        <v>0</v>
      </c>
      <c r="H190" s="74">
        <f t="shared" si="36"/>
        <v>0</v>
      </c>
    </row>
    <row r="191" spans="1:8" s="55" customFormat="1" ht="77.25" hidden="1" thickBot="1" x14ac:dyDescent="0.3">
      <c r="A191" s="155" t="s">
        <v>367</v>
      </c>
      <c r="B191" s="56" t="s">
        <v>363</v>
      </c>
      <c r="C191" s="56"/>
      <c r="D191" s="76"/>
      <c r="E191" s="76"/>
      <c r="F191" s="3">
        <f t="shared" si="36"/>
        <v>2364.0216</v>
      </c>
      <c r="G191" s="3">
        <v>0</v>
      </c>
      <c r="H191" s="77">
        <v>0</v>
      </c>
    </row>
    <row r="192" spans="1:8" s="55" customFormat="1" ht="39" hidden="1" thickBot="1" x14ac:dyDescent="0.3">
      <c r="A192" s="75" t="s">
        <v>31</v>
      </c>
      <c r="B192" s="56" t="s">
        <v>363</v>
      </c>
      <c r="C192" s="56">
        <v>200</v>
      </c>
      <c r="D192" s="76"/>
      <c r="E192" s="76"/>
      <c r="F192" s="3">
        <f t="shared" si="36"/>
        <v>2364.0216</v>
      </c>
      <c r="G192" s="3">
        <f>G193</f>
        <v>0</v>
      </c>
      <c r="H192" s="77">
        <f>H193</f>
        <v>0</v>
      </c>
    </row>
    <row r="193" spans="1:8" s="55" customFormat="1" ht="51.75" hidden="1" thickBot="1" x14ac:dyDescent="0.3">
      <c r="A193" s="10" t="s">
        <v>67</v>
      </c>
      <c r="B193" s="56" t="s">
        <v>363</v>
      </c>
      <c r="C193" s="56">
        <v>240</v>
      </c>
      <c r="D193" s="76"/>
      <c r="E193" s="76"/>
      <c r="F193" s="3">
        <f t="shared" si="36"/>
        <v>2364.0216</v>
      </c>
      <c r="G193" s="3">
        <f>G194</f>
        <v>0</v>
      </c>
      <c r="H193" s="77">
        <f>H194</f>
        <v>0</v>
      </c>
    </row>
    <row r="194" spans="1:8" s="55" customFormat="1" ht="16.5" hidden="1" thickBot="1" x14ac:dyDescent="0.3">
      <c r="A194" s="348" t="s">
        <v>61</v>
      </c>
      <c r="B194" s="57" t="s">
        <v>363</v>
      </c>
      <c r="C194" s="57">
        <v>240</v>
      </c>
      <c r="D194" s="131" t="s">
        <v>57</v>
      </c>
      <c r="E194" s="131" t="s">
        <v>40</v>
      </c>
      <c r="F194" s="164">
        <f>пр.4!G239</f>
        <v>2364.0216</v>
      </c>
      <c r="G194" s="164">
        <f>пр.4!H239</f>
        <v>0</v>
      </c>
      <c r="H194" s="165">
        <f>пр.4!I239</f>
        <v>0</v>
      </c>
    </row>
    <row r="195" spans="1:8" s="55" customFormat="1" ht="16.5" thickBot="1" x14ac:dyDescent="0.3">
      <c r="A195" s="633" t="s">
        <v>69</v>
      </c>
      <c r="B195" s="619"/>
      <c r="C195" s="177"/>
      <c r="D195" s="177"/>
      <c r="E195" s="617"/>
      <c r="F195" s="634">
        <f>F196+F246+F267</f>
        <v>99775.386709999992</v>
      </c>
      <c r="G195" s="634">
        <f>G196+G246+G267+пр.1!D31</f>
        <v>101499.55383199999</v>
      </c>
      <c r="H195" s="634">
        <f>H196+H246+H267+пр.1!E31</f>
        <v>114832.316544</v>
      </c>
    </row>
    <row r="196" spans="1:8" s="55" customFormat="1" ht="64.5" hidden="1" thickBot="1" x14ac:dyDescent="0.3">
      <c r="A196" s="181" t="s">
        <v>10</v>
      </c>
      <c r="B196" s="182" t="s">
        <v>11</v>
      </c>
      <c r="C196" s="182"/>
      <c r="D196" s="182"/>
      <c r="E196" s="182"/>
      <c r="F196" s="183">
        <f>F203+F240+F197</f>
        <v>74928.297579999984</v>
      </c>
      <c r="G196" s="183">
        <f>G203+G240+G197</f>
        <v>70888.099029999983</v>
      </c>
      <c r="H196" s="184">
        <f>H203+H240+H197</f>
        <v>71396.691029999987</v>
      </c>
    </row>
    <row r="197" spans="1:8" s="55" customFormat="1" ht="40.5" hidden="1" x14ac:dyDescent="0.25">
      <c r="A197" s="185" t="s">
        <v>149</v>
      </c>
      <c r="B197" s="186" t="s">
        <v>139</v>
      </c>
      <c r="C197" s="186"/>
      <c r="D197" s="186"/>
      <c r="E197" s="186"/>
      <c r="F197" s="187">
        <f t="shared" ref="F197:H199" si="37">F198</f>
        <v>4549.741</v>
      </c>
      <c r="G197" s="187">
        <f t="shared" si="37"/>
        <v>4549.741</v>
      </c>
      <c r="H197" s="188">
        <f t="shared" si="37"/>
        <v>4549.741</v>
      </c>
    </row>
    <row r="198" spans="1:8" s="55" customFormat="1" ht="15.75" hidden="1" x14ac:dyDescent="0.25">
      <c r="A198" s="89" t="s">
        <v>13</v>
      </c>
      <c r="B198" s="112" t="s">
        <v>140</v>
      </c>
      <c r="C198" s="112"/>
      <c r="D198" s="112"/>
      <c r="E198" s="112"/>
      <c r="F198" s="189">
        <f t="shared" si="37"/>
        <v>4549.741</v>
      </c>
      <c r="G198" s="189">
        <f t="shared" si="37"/>
        <v>4549.741</v>
      </c>
      <c r="H198" s="190">
        <f t="shared" si="37"/>
        <v>4549.741</v>
      </c>
    </row>
    <row r="199" spans="1:8" s="55" customFormat="1" ht="25.5" hidden="1" x14ac:dyDescent="0.25">
      <c r="A199" s="9" t="s">
        <v>149</v>
      </c>
      <c r="B199" s="5" t="s">
        <v>141</v>
      </c>
      <c r="C199" s="5"/>
      <c r="D199" s="5"/>
      <c r="E199" s="5"/>
      <c r="F199" s="191">
        <f>F200</f>
        <v>4549.741</v>
      </c>
      <c r="G199" s="191">
        <f t="shared" si="37"/>
        <v>4549.741</v>
      </c>
      <c r="H199" s="192">
        <f t="shared" si="37"/>
        <v>4549.741</v>
      </c>
    </row>
    <row r="200" spans="1:8" s="55" customFormat="1" ht="102" hidden="1" x14ac:dyDescent="0.25">
      <c r="A200" s="9" t="s">
        <v>27</v>
      </c>
      <c r="B200" s="5" t="s">
        <v>141</v>
      </c>
      <c r="C200" s="5" t="s">
        <v>72</v>
      </c>
      <c r="D200" s="5"/>
      <c r="E200" s="5"/>
      <c r="F200" s="191">
        <f t="shared" ref="F200:H201" si="38">F201</f>
        <v>4549.741</v>
      </c>
      <c r="G200" s="191">
        <f t="shared" si="38"/>
        <v>4549.741</v>
      </c>
      <c r="H200" s="192">
        <f t="shared" si="38"/>
        <v>4549.741</v>
      </c>
    </row>
    <row r="201" spans="1:8" s="55" customFormat="1" ht="38.25" hidden="1" x14ac:dyDescent="0.25">
      <c r="A201" s="10" t="s">
        <v>73</v>
      </c>
      <c r="B201" s="5" t="s">
        <v>141</v>
      </c>
      <c r="C201" s="5" t="s">
        <v>74</v>
      </c>
      <c r="D201" s="5"/>
      <c r="E201" s="5"/>
      <c r="F201" s="191">
        <f t="shared" si="38"/>
        <v>4549.741</v>
      </c>
      <c r="G201" s="191">
        <f t="shared" si="38"/>
        <v>4549.741</v>
      </c>
      <c r="H201" s="192">
        <f t="shared" si="38"/>
        <v>4549.741</v>
      </c>
    </row>
    <row r="202" spans="1:8" s="55" customFormat="1" ht="51" hidden="1" x14ac:dyDescent="0.25">
      <c r="A202" s="10" t="s">
        <v>148</v>
      </c>
      <c r="B202" s="5" t="s">
        <v>141</v>
      </c>
      <c r="C202" s="5" t="s">
        <v>74</v>
      </c>
      <c r="D202" s="5" t="s">
        <v>30</v>
      </c>
      <c r="E202" s="5" t="s">
        <v>58</v>
      </c>
      <c r="F202" s="191">
        <f>пр.4!G326</f>
        <v>4549.741</v>
      </c>
      <c r="G202" s="191">
        <f>пр.4!H326</f>
        <v>4549.741</v>
      </c>
      <c r="H202" s="192">
        <f>пр.4!I326</f>
        <v>4549.741</v>
      </c>
    </row>
    <row r="203" spans="1:8" s="55" customFormat="1" ht="81" hidden="1" x14ac:dyDescent="0.25">
      <c r="A203" s="193" t="s">
        <v>385</v>
      </c>
      <c r="B203" s="194" t="s">
        <v>12</v>
      </c>
      <c r="C203" s="194"/>
      <c r="D203" s="194"/>
      <c r="E203" s="194"/>
      <c r="F203" s="195">
        <f>F204</f>
        <v>67607.008709999995</v>
      </c>
      <c r="G203" s="195">
        <f>G204</f>
        <v>63566.810159999994</v>
      </c>
      <c r="H203" s="196">
        <f>H204</f>
        <v>64075.402159999998</v>
      </c>
    </row>
    <row r="204" spans="1:8" s="55" customFormat="1" ht="15.75" hidden="1" x14ac:dyDescent="0.25">
      <c r="A204" s="89" t="s">
        <v>13</v>
      </c>
      <c r="B204" s="112" t="s">
        <v>14</v>
      </c>
      <c r="C204" s="112"/>
      <c r="D204" s="112"/>
      <c r="E204" s="112"/>
      <c r="F204" s="189">
        <f>F205+F217+F221+F225+F229+F236</f>
        <v>67607.008709999995</v>
      </c>
      <c r="G204" s="189">
        <f>G205+G217+G221+G225+G229+G236</f>
        <v>63566.810159999994</v>
      </c>
      <c r="H204" s="190">
        <f>H205+H217+H221+H225+H229+H236</f>
        <v>64075.402159999998</v>
      </c>
    </row>
    <row r="205" spans="1:8" s="55" customFormat="1" ht="25.5" hidden="1" x14ac:dyDescent="0.25">
      <c r="A205" s="9" t="s">
        <v>70</v>
      </c>
      <c r="B205" s="5" t="s">
        <v>71</v>
      </c>
      <c r="C205" s="5"/>
      <c r="D205" s="5"/>
      <c r="E205" s="5"/>
      <c r="F205" s="191">
        <f>F206+F214+F210</f>
        <v>62267.824710000001</v>
      </c>
      <c r="G205" s="191">
        <f>G206+G214+G210</f>
        <v>60557.550159999999</v>
      </c>
      <c r="H205" s="192">
        <f>H206+H214+H210</f>
        <v>61066.142160000003</v>
      </c>
    </row>
    <row r="206" spans="1:8" s="55" customFormat="1" ht="102" hidden="1" x14ac:dyDescent="0.25">
      <c r="A206" s="9" t="s">
        <v>27</v>
      </c>
      <c r="B206" s="5" t="s">
        <v>71</v>
      </c>
      <c r="C206" s="5" t="s">
        <v>72</v>
      </c>
      <c r="D206" s="5"/>
      <c r="E206" s="5"/>
      <c r="F206" s="191">
        <f>F207</f>
        <v>51623.75056</v>
      </c>
      <c r="G206" s="191">
        <f>G207</f>
        <v>51623.75056</v>
      </c>
      <c r="H206" s="192">
        <f>H207</f>
        <v>51623.75056</v>
      </c>
    </row>
    <row r="207" spans="1:8" s="55" customFormat="1" ht="38.25" hidden="1" x14ac:dyDescent="0.25">
      <c r="A207" s="10" t="s">
        <v>73</v>
      </c>
      <c r="B207" s="5" t="s">
        <v>71</v>
      </c>
      <c r="C207" s="5" t="s">
        <v>74</v>
      </c>
      <c r="D207" s="5"/>
      <c r="E207" s="5"/>
      <c r="F207" s="191">
        <f>F208+F209</f>
        <v>51623.75056</v>
      </c>
      <c r="G207" s="191">
        <f>G208+G209</f>
        <v>51623.75056</v>
      </c>
      <c r="H207" s="192">
        <f>H208+H209</f>
        <v>51623.75056</v>
      </c>
    </row>
    <row r="208" spans="1:8" s="55" customFormat="1" ht="76.5" hidden="1" x14ac:dyDescent="0.25">
      <c r="A208" s="10" t="s">
        <v>405</v>
      </c>
      <c r="B208" s="5" t="s">
        <v>71</v>
      </c>
      <c r="C208" s="5" t="s">
        <v>74</v>
      </c>
      <c r="D208" s="5" t="s">
        <v>30</v>
      </c>
      <c r="E208" s="5" t="s">
        <v>40</v>
      </c>
      <c r="F208" s="191">
        <f>пр.4!G333</f>
        <v>1488.99845</v>
      </c>
      <c r="G208" s="191">
        <f>пр.4!H333</f>
        <v>1488.99845</v>
      </c>
      <c r="H208" s="192">
        <f>пр.4!I333</f>
        <v>1488.99845</v>
      </c>
    </row>
    <row r="209" spans="1:8" s="55" customFormat="1" ht="89.25" hidden="1" x14ac:dyDescent="0.25">
      <c r="A209" s="10" t="s">
        <v>331</v>
      </c>
      <c r="B209" s="5" t="s">
        <v>71</v>
      </c>
      <c r="C209" s="5" t="s">
        <v>74</v>
      </c>
      <c r="D209" s="5" t="s">
        <v>30</v>
      </c>
      <c r="E209" s="5" t="s">
        <v>36</v>
      </c>
      <c r="F209" s="191">
        <f>пр.4!G30</f>
        <v>50134.752110000001</v>
      </c>
      <c r="G209" s="191">
        <f>пр.4!H30</f>
        <v>50134.752110000001</v>
      </c>
      <c r="H209" s="192">
        <f>пр.4!I30</f>
        <v>50134.752110000001</v>
      </c>
    </row>
    <row r="210" spans="1:8" s="55" customFormat="1" ht="38.25" hidden="1" x14ac:dyDescent="0.25">
      <c r="A210" s="75" t="s">
        <v>31</v>
      </c>
      <c r="B210" s="5" t="s">
        <v>71</v>
      </c>
      <c r="C210" s="5" t="s">
        <v>66</v>
      </c>
      <c r="D210" s="5"/>
      <c r="E210" s="5"/>
      <c r="F210" s="191">
        <f>F211</f>
        <v>10152.274599999999</v>
      </c>
      <c r="G210" s="191">
        <f>G211</f>
        <v>8576.7995999999985</v>
      </c>
      <c r="H210" s="192">
        <f>H211</f>
        <v>9085.3916000000008</v>
      </c>
    </row>
    <row r="211" spans="1:8" s="55" customFormat="1" ht="51" hidden="1" x14ac:dyDescent="0.25">
      <c r="A211" s="10" t="s">
        <v>67</v>
      </c>
      <c r="B211" s="5" t="s">
        <v>71</v>
      </c>
      <c r="C211" s="5" t="s">
        <v>68</v>
      </c>
      <c r="D211" s="5"/>
      <c r="E211" s="5"/>
      <c r="F211" s="191">
        <f>F212+F213</f>
        <v>10152.274599999999</v>
      </c>
      <c r="G211" s="191">
        <f>G212+G213</f>
        <v>8576.7995999999985</v>
      </c>
      <c r="H211" s="192">
        <f>H212+H213</f>
        <v>9085.3916000000008</v>
      </c>
    </row>
    <row r="212" spans="1:8" s="55" customFormat="1" ht="76.5" hidden="1" x14ac:dyDescent="0.25">
      <c r="A212" s="10" t="s">
        <v>405</v>
      </c>
      <c r="B212" s="5" t="s">
        <v>71</v>
      </c>
      <c r="C212" s="5" t="s">
        <v>68</v>
      </c>
      <c r="D212" s="5" t="s">
        <v>30</v>
      </c>
      <c r="E212" s="5" t="s">
        <v>40</v>
      </c>
      <c r="F212" s="191">
        <f>пр.4!G335</f>
        <v>958.5</v>
      </c>
      <c r="G212" s="191">
        <f>пр.4!H335</f>
        <v>660</v>
      </c>
      <c r="H212" s="192">
        <f>пр.4!I335</f>
        <v>660</v>
      </c>
    </row>
    <row r="213" spans="1:8" s="55" customFormat="1" ht="89.25" hidden="1" x14ac:dyDescent="0.25">
      <c r="A213" s="10" t="s">
        <v>331</v>
      </c>
      <c r="B213" s="5" t="s">
        <v>71</v>
      </c>
      <c r="C213" s="5" t="s">
        <v>68</v>
      </c>
      <c r="D213" s="5" t="s">
        <v>30</v>
      </c>
      <c r="E213" s="5" t="s">
        <v>36</v>
      </c>
      <c r="F213" s="191">
        <f>пр.4!G32</f>
        <v>9193.7745999999988</v>
      </c>
      <c r="G213" s="191">
        <f>пр.4!H32</f>
        <v>7916.7995999999994</v>
      </c>
      <c r="H213" s="192">
        <f>пр.4!I32</f>
        <v>8425.3916000000008</v>
      </c>
    </row>
    <row r="214" spans="1:8" s="55" customFormat="1" ht="15.75" hidden="1" x14ac:dyDescent="0.25">
      <c r="A214" s="75" t="s">
        <v>33</v>
      </c>
      <c r="B214" s="5" t="s">
        <v>71</v>
      </c>
      <c r="C214" s="5" t="s">
        <v>75</v>
      </c>
      <c r="D214" s="5"/>
      <c r="E214" s="5"/>
      <c r="F214" s="191">
        <f t="shared" ref="F214:H215" si="39">F215</f>
        <v>491.79955000000001</v>
      </c>
      <c r="G214" s="191">
        <f t="shared" si="39"/>
        <v>357</v>
      </c>
      <c r="H214" s="192">
        <f t="shared" si="39"/>
        <v>357</v>
      </c>
    </row>
    <row r="215" spans="1:8" s="55" customFormat="1" ht="25.5" hidden="1" x14ac:dyDescent="0.25">
      <c r="A215" s="10" t="s">
        <v>76</v>
      </c>
      <c r="B215" s="5" t="s">
        <v>71</v>
      </c>
      <c r="C215" s="5" t="s">
        <v>77</v>
      </c>
      <c r="D215" s="5"/>
      <c r="E215" s="5"/>
      <c r="F215" s="191">
        <f t="shared" si="39"/>
        <v>491.79955000000001</v>
      </c>
      <c r="G215" s="191">
        <f t="shared" si="39"/>
        <v>357</v>
      </c>
      <c r="H215" s="192">
        <f t="shared" si="39"/>
        <v>357</v>
      </c>
    </row>
    <row r="216" spans="1:8" s="55" customFormat="1" ht="89.25" hidden="1" x14ac:dyDescent="0.25">
      <c r="A216" s="10" t="s">
        <v>331</v>
      </c>
      <c r="B216" s="5" t="s">
        <v>71</v>
      </c>
      <c r="C216" s="5" t="s">
        <v>77</v>
      </c>
      <c r="D216" s="5" t="s">
        <v>30</v>
      </c>
      <c r="E216" s="5" t="s">
        <v>36</v>
      </c>
      <c r="F216" s="191">
        <f>пр.4!G34</f>
        <v>491.79955000000001</v>
      </c>
      <c r="G216" s="191">
        <f>пр.4!H34</f>
        <v>357</v>
      </c>
      <c r="H216" s="192">
        <f>пр.4!I34</f>
        <v>357</v>
      </c>
    </row>
    <row r="217" spans="1:8" s="55" customFormat="1" ht="63.75" hidden="1" x14ac:dyDescent="0.25">
      <c r="A217" s="197" t="s">
        <v>17</v>
      </c>
      <c r="B217" s="5" t="s">
        <v>18</v>
      </c>
      <c r="C217" s="5"/>
      <c r="D217" s="5"/>
      <c r="E217" s="5"/>
      <c r="F217" s="191">
        <f>F219</f>
        <v>147.52000000000001</v>
      </c>
      <c r="G217" s="191">
        <f>G219</f>
        <v>0</v>
      </c>
      <c r="H217" s="192">
        <f>H219</f>
        <v>0</v>
      </c>
    </row>
    <row r="218" spans="1:8" s="55" customFormat="1" ht="15.75" hidden="1" x14ac:dyDescent="0.25">
      <c r="A218" s="198" t="s">
        <v>123</v>
      </c>
      <c r="B218" s="5" t="s">
        <v>18</v>
      </c>
      <c r="C218" s="5" t="s">
        <v>78</v>
      </c>
      <c r="D218" s="5"/>
      <c r="E218" s="5"/>
      <c r="F218" s="191">
        <f t="shared" ref="F218:H219" si="40">F219</f>
        <v>147.52000000000001</v>
      </c>
      <c r="G218" s="191">
        <f t="shared" si="40"/>
        <v>0</v>
      </c>
      <c r="H218" s="192">
        <f t="shared" si="40"/>
        <v>0</v>
      </c>
    </row>
    <row r="219" spans="1:8" s="55" customFormat="1" ht="25.5" hidden="1" x14ac:dyDescent="0.25">
      <c r="A219" s="10" t="s">
        <v>79</v>
      </c>
      <c r="B219" s="5" t="s">
        <v>18</v>
      </c>
      <c r="C219" s="5" t="s">
        <v>4</v>
      </c>
      <c r="D219" s="5"/>
      <c r="E219" s="5"/>
      <c r="F219" s="191">
        <f t="shared" si="40"/>
        <v>147.52000000000001</v>
      </c>
      <c r="G219" s="191">
        <f t="shared" si="40"/>
        <v>0</v>
      </c>
      <c r="H219" s="192">
        <f t="shared" si="40"/>
        <v>0</v>
      </c>
    </row>
    <row r="220" spans="1:8" s="55" customFormat="1" ht="89.25" hidden="1" x14ac:dyDescent="0.25">
      <c r="A220" s="10" t="s">
        <v>331</v>
      </c>
      <c r="B220" s="5" t="s">
        <v>18</v>
      </c>
      <c r="C220" s="5" t="s">
        <v>4</v>
      </c>
      <c r="D220" s="5" t="s">
        <v>30</v>
      </c>
      <c r="E220" s="5" t="s">
        <v>36</v>
      </c>
      <c r="F220" s="191">
        <f>пр.4!G40</f>
        <v>147.52000000000001</v>
      </c>
      <c r="G220" s="191">
        <f>пр.4!H40</f>
        <v>0</v>
      </c>
      <c r="H220" s="192">
        <f>пр.4!I40</f>
        <v>0</v>
      </c>
    </row>
    <row r="221" spans="1:8" s="55" customFormat="1" ht="63.75" hidden="1" x14ac:dyDescent="0.25">
      <c r="A221" s="197" t="s">
        <v>80</v>
      </c>
      <c r="B221" s="5" t="s">
        <v>15</v>
      </c>
      <c r="C221" s="5"/>
      <c r="D221" s="5"/>
      <c r="E221" s="5"/>
      <c r="F221" s="191">
        <f>F223</f>
        <v>762.7</v>
      </c>
      <c r="G221" s="191">
        <f>G223</f>
        <v>0</v>
      </c>
      <c r="H221" s="192">
        <f>H223</f>
        <v>0</v>
      </c>
    </row>
    <row r="222" spans="1:8" s="55" customFormat="1" ht="15.75" hidden="1" x14ac:dyDescent="0.25">
      <c r="A222" s="198" t="s">
        <v>123</v>
      </c>
      <c r="B222" s="5" t="s">
        <v>15</v>
      </c>
      <c r="C222" s="5" t="s">
        <v>78</v>
      </c>
      <c r="D222" s="5"/>
      <c r="E222" s="5"/>
      <c r="F222" s="191">
        <f t="shared" ref="F222:H223" si="41">F223</f>
        <v>762.7</v>
      </c>
      <c r="G222" s="191">
        <f t="shared" si="41"/>
        <v>0</v>
      </c>
      <c r="H222" s="192">
        <f t="shared" si="41"/>
        <v>0</v>
      </c>
    </row>
    <row r="223" spans="1:8" s="55" customFormat="1" ht="25.5" hidden="1" x14ac:dyDescent="0.25">
      <c r="A223" s="10" t="s">
        <v>79</v>
      </c>
      <c r="B223" s="5" t="s">
        <v>15</v>
      </c>
      <c r="C223" s="5" t="s">
        <v>4</v>
      </c>
      <c r="D223" s="5"/>
      <c r="E223" s="5"/>
      <c r="F223" s="191">
        <f t="shared" si="41"/>
        <v>762.7</v>
      </c>
      <c r="G223" s="191">
        <f t="shared" si="41"/>
        <v>0</v>
      </c>
      <c r="H223" s="192">
        <f t="shared" si="41"/>
        <v>0</v>
      </c>
    </row>
    <row r="224" spans="1:8" s="55" customFormat="1" ht="89.25" hidden="1" x14ac:dyDescent="0.25">
      <c r="A224" s="10" t="s">
        <v>331</v>
      </c>
      <c r="B224" s="5" t="s">
        <v>15</v>
      </c>
      <c r="C224" s="5" t="s">
        <v>4</v>
      </c>
      <c r="D224" s="5" t="s">
        <v>30</v>
      </c>
      <c r="E224" s="5" t="s">
        <v>36</v>
      </c>
      <c r="F224" s="191">
        <f>пр.4!G37</f>
        <v>762.7</v>
      </c>
      <c r="G224" s="191">
        <f>пр.4!H37</f>
        <v>0</v>
      </c>
      <c r="H224" s="192">
        <f>пр.4!I37</f>
        <v>0</v>
      </c>
    </row>
    <row r="225" spans="1:8" s="55" customFormat="1" ht="76.5" hidden="1" x14ac:dyDescent="0.25">
      <c r="A225" s="197" t="s">
        <v>7</v>
      </c>
      <c r="B225" s="5" t="s">
        <v>16</v>
      </c>
      <c r="C225" s="5"/>
      <c r="D225" s="5"/>
      <c r="E225" s="5"/>
      <c r="F225" s="191">
        <f>F227</f>
        <v>1419.704</v>
      </c>
      <c r="G225" s="191">
        <f>G227</f>
        <v>0</v>
      </c>
      <c r="H225" s="192">
        <f>H227</f>
        <v>0</v>
      </c>
    </row>
    <row r="226" spans="1:8" s="55" customFormat="1" ht="15.75" hidden="1" x14ac:dyDescent="0.25">
      <c r="A226" s="198" t="s">
        <v>123</v>
      </c>
      <c r="B226" s="5" t="s">
        <v>16</v>
      </c>
      <c r="C226" s="5" t="s">
        <v>78</v>
      </c>
      <c r="D226" s="5"/>
      <c r="E226" s="5"/>
      <c r="F226" s="191">
        <f t="shared" ref="F226:H227" si="42">F227</f>
        <v>1419.704</v>
      </c>
      <c r="G226" s="191">
        <f t="shared" si="42"/>
        <v>0</v>
      </c>
      <c r="H226" s="192">
        <f t="shared" si="42"/>
        <v>0</v>
      </c>
    </row>
    <row r="227" spans="1:8" s="55" customFormat="1" ht="25.5" hidden="1" x14ac:dyDescent="0.25">
      <c r="A227" s="10" t="s">
        <v>79</v>
      </c>
      <c r="B227" s="5" t="s">
        <v>16</v>
      </c>
      <c r="C227" s="5" t="s">
        <v>4</v>
      </c>
      <c r="D227" s="5"/>
      <c r="E227" s="5"/>
      <c r="F227" s="191">
        <f t="shared" si="42"/>
        <v>1419.704</v>
      </c>
      <c r="G227" s="191">
        <f t="shared" si="42"/>
        <v>0</v>
      </c>
      <c r="H227" s="192">
        <f t="shared" si="42"/>
        <v>0</v>
      </c>
    </row>
    <row r="228" spans="1:8" s="55" customFormat="1" ht="63.75" hidden="1" x14ac:dyDescent="0.25">
      <c r="A228" s="349" t="s">
        <v>6</v>
      </c>
      <c r="B228" s="5" t="s">
        <v>16</v>
      </c>
      <c r="C228" s="5" t="s">
        <v>4</v>
      </c>
      <c r="D228" s="5" t="s">
        <v>30</v>
      </c>
      <c r="E228" s="5" t="s">
        <v>81</v>
      </c>
      <c r="F228" s="191">
        <f>пр.4!G52</f>
        <v>1419.704</v>
      </c>
      <c r="G228" s="191">
        <f>пр.4!H52</f>
        <v>0</v>
      </c>
      <c r="H228" s="192">
        <f>пр.4!I52</f>
        <v>0</v>
      </c>
    </row>
    <row r="229" spans="1:8" s="202" customFormat="1" ht="102" hidden="1" x14ac:dyDescent="0.2">
      <c r="A229" s="199" t="s">
        <v>420</v>
      </c>
      <c r="B229" s="79" t="s">
        <v>143</v>
      </c>
      <c r="C229" s="79"/>
      <c r="D229" s="5"/>
      <c r="E229" s="5"/>
      <c r="F229" s="200">
        <f>F230+F233</f>
        <v>2998.7000000000003</v>
      </c>
      <c r="G229" s="200">
        <f>G230+G233</f>
        <v>2998.7000000000003</v>
      </c>
      <c r="H229" s="201">
        <f>H230+H233</f>
        <v>2998.7000000000003</v>
      </c>
    </row>
    <row r="230" spans="1:8" s="202" customFormat="1" ht="102" hidden="1" x14ac:dyDescent="0.2">
      <c r="A230" s="203" t="s">
        <v>27</v>
      </c>
      <c r="B230" s="79" t="s">
        <v>143</v>
      </c>
      <c r="C230" s="79" t="s">
        <v>72</v>
      </c>
      <c r="D230" s="5"/>
      <c r="E230" s="5"/>
      <c r="F230" s="200">
        <f t="shared" ref="F230:H231" si="43">F231</f>
        <v>2918.6680000000001</v>
      </c>
      <c r="G230" s="200">
        <f t="shared" si="43"/>
        <v>2918.6680000000001</v>
      </c>
      <c r="H230" s="201">
        <f t="shared" si="43"/>
        <v>2918.6680000000001</v>
      </c>
    </row>
    <row r="231" spans="1:8" s="202" customFormat="1" ht="38.25" hidden="1" x14ac:dyDescent="0.2">
      <c r="A231" s="10" t="s">
        <v>73</v>
      </c>
      <c r="B231" s="79" t="s">
        <v>143</v>
      </c>
      <c r="C231" s="79" t="s">
        <v>74</v>
      </c>
      <c r="D231" s="5"/>
      <c r="E231" s="5"/>
      <c r="F231" s="200">
        <f t="shared" si="43"/>
        <v>2918.6680000000001</v>
      </c>
      <c r="G231" s="200">
        <f t="shared" si="43"/>
        <v>2918.6680000000001</v>
      </c>
      <c r="H231" s="201">
        <f t="shared" si="43"/>
        <v>2918.6680000000001</v>
      </c>
    </row>
    <row r="232" spans="1:8" s="202" customFormat="1" ht="51" hidden="1" x14ac:dyDescent="0.2">
      <c r="A232" s="350" t="s">
        <v>144</v>
      </c>
      <c r="B232" s="79" t="s">
        <v>143</v>
      </c>
      <c r="C232" s="79" t="s">
        <v>74</v>
      </c>
      <c r="D232" s="5" t="s">
        <v>40</v>
      </c>
      <c r="E232" s="5" t="s">
        <v>145</v>
      </c>
      <c r="F232" s="200">
        <f>пр.4!G118</f>
        <v>2918.6680000000001</v>
      </c>
      <c r="G232" s="200">
        <f>пр.4!H118</f>
        <v>2918.6680000000001</v>
      </c>
      <c r="H232" s="201">
        <f>пр.4!I118</f>
        <v>2918.6680000000001</v>
      </c>
    </row>
    <row r="233" spans="1:8" s="202" customFormat="1" ht="38.25" hidden="1" x14ac:dyDescent="0.2">
      <c r="A233" s="82" t="s">
        <v>31</v>
      </c>
      <c r="B233" s="79" t="s">
        <v>143</v>
      </c>
      <c r="C233" s="79" t="s">
        <v>66</v>
      </c>
      <c r="D233" s="5"/>
      <c r="E233" s="5"/>
      <c r="F233" s="200">
        <f t="shared" ref="F233:H234" si="44">F234</f>
        <v>80.031999999999996</v>
      </c>
      <c r="G233" s="200">
        <f t="shared" si="44"/>
        <v>80.031999999999996</v>
      </c>
      <c r="H233" s="201">
        <f t="shared" si="44"/>
        <v>80.031999999999996</v>
      </c>
    </row>
    <row r="234" spans="1:8" s="202" customFormat="1" ht="51" hidden="1" x14ac:dyDescent="0.2">
      <c r="A234" s="10" t="s">
        <v>67</v>
      </c>
      <c r="B234" s="79" t="s">
        <v>143</v>
      </c>
      <c r="C234" s="79" t="s">
        <v>68</v>
      </c>
      <c r="D234" s="5"/>
      <c r="E234" s="5"/>
      <c r="F234" s="200">
        <f t="shared" si="44"/>
        <v>80.031999999999996</v>
      </c>
      <c r="G234" s="200">
        <f t="shared" si="44"/>
        <v>80.031999999999996</v>
      </c>
      <c r="H234" s="201">
        <f t="shared" si="44"/>
        <v>80.031999999999996</v>
      </c>
    </row>
    <row r="235" spans="1:8" s="202" customFormat="1" ht="51" hidden="1" x14ac:dyDescent="0.2">
      <c r="A235" s="350" t="s">
        <v>144</v>
      </c>
      <c r="B235" s="79" t="s">
        <v>143</v>
      </c>
      <c r="C235" s="79" t="s">
        <v>68</v>
      </c>
      <c r="D235" s="5" t="s">
        <v>40</v>
      </c>
      <c r="E235" s="5" t="s">
        <v>145</v>
      </c>
      <c r="F235" s="200">
        <f>пр.4!G120</f>
        <v>80.031999999999996</v>
      </c>
      <c r="G235" s="200">
        <f>пр.4!H120</f>
        <v>80.031999999999996</v>
      </c>
      <c r="H235" s="201">
        <f>пр.4!I120</f>
        <v>80.031999999999996</v>
      </c>
    </row>
    <row r="236" spans="1:8" s="202" customFormat="1" ht="89.25" hidden="1" x14ac:dyDescent="0.2">
      <c r="A236" s="197" t="s">
        <v>146</v>
      </c>
      <c r="B236" s="5" t="s">
        <v>147</v>
      </c>
      <c r="C236" s="5"/>
      <c r="D236" s="5"/>
      <c r="E236" s="5"/>
      <c r="F236" s="191">
        <f>F238</f>
        <v>10.559999999999999</v>
      </c>
      <c r="G236" s="191">
        <f>G238</f>
        <v>10.56</v>
      </c>
      <c r="H236" s="192">
        <f>H238</f>
        <v>10.56</v>
      </c>
    </row>
    <row r="237" spans="1:8" s="202" customFormat="1" ht="38.25" hidden="1" x14ac:dyDescent="0.2">
      <c r="A237" s="82" t="s">
        <v>31</v>
      </c>
      <c r="B237" s="5" t="s">
        <v>147</v>
      </c>
      <c r="C237" s="79" t="s">
        <v>66</v>
      </c>
      <c r="D237" s="5"/>
      <c r="E237" s="5"/>
      <c r="F237" s="191">
        <f t="shared" ref="F237:H238" si="45">F238</f>
        <v>10.559999999999999</v>
      </c>
      <c r="G237" s="191">
        <f t="shared" si="45"/>
        <v>10.56</v>
      </c>
      <c r="H237" s="192">
        <f t="shared" si="45"/>
        <v>10.56</v>
      </c>
    </row>
    <row r="238" spans="1:8" s="202" customFormat="1" ht="51" hidden="1" x14ac:dyDescent="0.2">
      <c r="A238" s="10" t="s">
        <v>67</v>
      </c>
      <c r="B238" s="5" t="s">
        <v>147</v>
      </c>
      <c r="C238" s="79" t="s">
        <v>68</v>
      </c>
      <c r="D238" s="5"/>
      <c r="E238" s="5"/>
      <c r="F238" s="191">
        <f t="shared" si="45"/>
        <v>10.559999999999999</v>
      </c>
      <c r="G238" s="191">
        <f t="shared" si="45"/>
        <v>10.56</v>
      </c>
      <c r="H238" s="192">
        <f t="shared" si="45"/>
        <v>10.56</v>
      </c>
    </row>
    <row r="239" spans="1:8" s="202" customFormat="1" ht="51" hidden="1" x14ac:dyDescent="0.2">
      <c r="A239" s="350" t="s">
        <v>144</v>
      </c>
      <c r="B239" s="5" t="s">
        <v>147</v>
      </c>
      <c r="C239" s="79" t="s">
        <v>68</v>
      </c>
      <c r="D239" s="5" t="s">
        <v>40</v>
      </c>
      <c r="E239" s="5" t="s">
        <v>145</v>
      </c>
      <c r="F239" s="191">
        <f>пр.4!G123</f>
        <v>10.559999999999999</v>
      </c>
      <c r="G239" s="191">
        <f>пр.4!H123</f>
        <v>10.56</v>
      </c>
      <c r="H239" s="192">
        <f>пр.4!I123</f>
        <v>10.56</v>
      </c>
    </row>
    <row r="240" spans="1:8" s="55" customFormat="1" ht="121.5" hidden="1" x14ac:dyDescent="0.25">
      <c r="A240" s="193" t="s">
        <v>432</v>
      </c>
      <c r="B240" s="194" t="s">
        <v>82</v>
      </c>
      <c r="C240" s="194"/>
      <c r="D240" s="194"/>
      <c r="E240" s="194"/>
      <c r="F240" s="204">
        <f t="shared" ref="F240:H241" si="46">SUM(F241)</f>
        <v>2771.5478699999999</v>
      </c>
      <c r="G240" s="204">
        <f t="shared" si="46"/>
        <v>2771.5478699999999</v>
      </c>
      <c r="H240" s="205">
        <f t="shared" si="46"/>
        <v>2771.5478699999999</v>
      </c>
    </row>
    <row r="241" spans="1:8" s="55" customFormat="1" ht="15.75" hidden="1" x14ac:dyDescent="0.25">
      <c r="A241" s="89" t="s">
        <v>13</v>
      </c>
      <c r="B241" s="112" t="s">
        <v>83</v>
      </c>
      <c r="C241" s="112"/>
      <c r="D241" s="112"/>
      <c r="E241" s="112"/>
      <c r="F241" s="206">
        <f t="shared" si="46"/>
        <v>2771.5478699999999</v>
      </c>
      <c r="G241" s="206">
        <f t="shared" si="46"/>
        <v>2771.5478699999999</v>
      </c>
      <c r="H241" s="207">
        <f t="shared" si="46"/>
        <v>2771.5478699999999</v>
      </c>
    </row>
    <row r="242" spans="1:8" s="55" customFormat="1" ht="63.75" hidden="1" x14ac:dyDescent="0.25">
      <c r="A242" s="9" t="s">
        <v>84</v>
      </c>
      <c r="B242" s="5" t="s">
        <v>85</v>
      </c>
      <c r="C242" s="5"/>
      <c r="D242" s="5"/>
      <c r="E242" s="5"/>
      <c r="F242" s="200">
        <f t="shared" ref="F242:H244" si="47">F243</f>
        <v>2771.5478699999999</v>
      </c>
      <c r="G242" s="200">
        <f t="shared" si="47"/>
        <v>2771.5478699999999</v>
      </c>
      <c r="H242" s="201">
        <f t="shared" si="47"/>
        <v>2771.5478699999999</v>
      </c>
    </row>
    <row r="243" spans="1:8" s="55" customFormat="1" ht="102" hidden="1" x14ac:dyDescent="0.25">
      <c r="A243" s="203" t="s">
        <v>27</v>
      </c>
      <c r="B243" s="5" t="s">
        <v>85</v>
      </c>
      <c r="C243" s="5" t="s">
        <v>72</v>
      </c>
      <c r="D243" s="5"/>
      <c r="E243" s="5"/>
      <c r="F243" s="200">
        <f t="shared" si="47"/>
        <v>2771.5478699999999</v>
      </c>
      <c r="G243" s="200">
        <f t="shared" si="47"/>
        <v>2771.5478699999999</v>
      </c>
      <c r="H243" s="201">
        <f t="shared" si="47"/>
        <v>2771.5478699999999</v>
      </c>
    </row>
    <row r="244" spans="1:8" s="55" customFormat="1" ht="38.25" hidden="1" x14ac:dyDescent="0.25">
      <c r="A244" s="10" t="s">
        <v>73</v>
      </c>
      <c r="B244" s="5" t="s">
        <v>85</v>
      </c>
      <c r="C244" s="5" t="s">
        <v>74</v>
      </c>
      <c r="D244" s="5"/>
      <c r="E244" s="5"/>
      <c r="F244" s="200">
        <f t="shared" si="47"/>
        <v>2771.5478699999999</v>
      </c>
      <c r="G244" s="200">
        <f t="shared" si="47"/>
        <v>2771.5478699999999</v>
      </c>
      <c r="H244" s="201">
        <f t="shared" si="47"/>
        <v>2771.5478699999999</v>
      </c>
    </row>
    <row r="245" spans="1:8" s="55" customFormat="1" ht="89.25" hidden="1" x14ac:dyDescent="0.25">
      <c r="A245" s="351" t="s">
        <v>331</v>
      </c>
      <c r="B245" s="130" t="s">
        <v>85</v>
      </c>
      <c r="C245" s="130" t="s">
        <v>74</v>
      </c>
      <c r="D245" s="130" t="s">
        <v>30</v>
      </c>
      <c r="E245" s="130" t="s">
        <v>36</v>
      </c>
      <c r="F245" s="208">
        <f>пр.4!G45</f>
        <v>2771.5478699999999</v>
      </c>
      <c r="G245" s="208">
        <f>пр.4!H45</f>
        <v>2771.5478699999999</v>
      </c>
      <c r="H245" s="209">
        <f>пр.4!I45</f>
        <v>2771.5478699999999</v>
      </c>
    </row>
    <row r="246" spans="1:8" s="55" customFormat="1" ht="51.75" hidden="1" thickBot="1" x14ac:dyDescent="0.3">
      <c r="A246" s="153" t="s">
        <v>86</v>
      </c>
      <c r="B246" s="172" t="s">
        <v>87</v>
      </c>
      <c r="C246" s="172"/>
      <c r="D246" s="210"/>
      <c r="E246" s="210"/>
      <c r="F246" s="211">
        <f t="shared" ref="F246:H247" si="48">SUM(F247)</f>
        <v>7178.4685099999997</v>
      </c>
      <c r="G246" s="211">
        <f t="shared" si="48"/>
        <v>5383.8494999999994</v>
      </c>
      <c r="H246" s="212">
        <f t="shared" si="48"/>
        <v>5832.3705</v>
      </c>
    </row>
    <row r="247" spans="1:8" s="55" customFormat="1" ht="15.75" hidden="1" x14ac:dyDescent="0.25">
      <c r="A247" s="213" t="s">
        <v>13</v>
      </c>
      <c r="B247" s="214" t="s">
        <v>88</v>
      </c>
      <c r="C247" s="214"/>
      <c r="D247" s="214"/>
      <c r="E247" s="214"/>
      <c r="F247" s="215">
        <f>SUM(F248)</f>
        <v>7178.4685099999997</v>
      </c>
      <c r="G247" s="215">
        <f t="shared" si="48"/>
        <v>5383.8494999999994</v>
      </c>
      <c r="H247" s="216">
        <f t="shared" si="48"/>
        <v>5832.3705</v>
      </c>
    </row>
    <row r="248" spans="1:8" s="55" customFormat="1" ht="15.75" hidden="1" x14ac:dyDescent="0.25">
      <c r="A248" s="89" t="s">
        <v>13</v>
      </c>
      <c r="B248" s="112" t="s">
        <v>89</v>
      </c>
      <c r="C248" s="112"/>
      <c r="D248" s="112"/>
      <c r="E248" s="112"/>
      <c r="F248" s="189">
        <f>SUM(F249)+F263</f>
        <v>7178.4685099999997</v>
      </c>
      <c r="G248" s="189">
        <f>SUM(G249)+G263</f>
        <v>5383.8494999999994</v>
      </c>
      <c r="H248" s="190">
        <f>SUM(H249)+H263</f>
        <v>5832.3705</v>
      </c>
    </row>
    <row r="249" spans="1:8" s="55" customFormat="1" ht="25.5" hidden="1" x14ac:dyDescent="0.25">
      <c r="A249" s="217" t="s">
        <v>90</v>
      </c>
      <c r="B249" s="5" t="s">
        <v>91</v>
      </c>
      <c r="C249" s="5"/>
      <c r="D249" s="5"/>
      <c r="E249" s="5"/>
      <c r="F249" s="191">
        <f>F250+F253+F258</f>
        <v>6678.4685099999997</v>
      </c>
      <c r="G249" s="191">
        <f>G250+G253+G258</f>
        <v>4883.8494999999994</v>
      </c>
      <c r="H249" s="192">
        <f>H250+H253+H258</f>
        <v>5332.3705</v>
      </c>
    </row>
    <row r="250" spans="1:8" s="55" customFormat="1" ht="38.25" hidden="1" x14ac:dyDescent="0.25">
      <c r="A250" s="75" t="s">
        <v>31</v>
      </c>
      <c r="B250" s="5" t="s">
        <v>91</v>
      </c>
      <c r="C250" s="5" t="s">
        <v>66</v>
      </c>
      <c r="D250" s="5"/>
      <c r="E250" s="5"/>
      <c r="F250" s="191">
        <f t="shared" ref="F250:H251" si="49">F251</f>
        <v>4235.9920099999999</v>
      </c>
      <c r="G250" s="191">
        <f t="shared" si="49"/>
        <v>4437.8999999999996</v>
      </c>
      <c r="H250" s="192">
        <f t="shared" si="49"/>
        <v>4851.6899999999996</v>
      </c>
    </row>
    <row r="251" spans="1:8" s="55" customFormat="1" ht="51" hidden="1" x14ac:dyDescent="0.25">
      <c r="A251" s="10" t="s">
        <v>67</v>
      </c>
      <c r="B251" s="5" t="s">
        <v>91</v>
      </c>
      <c r="C251" s="5" t="s">
        <v>68</v>
      </c>
      <c r="D251" s="5"/>
      <c r="E251" s="5"/>
      <c r="F251" s="191">
        <f t="shared" si="49"/>
        <v>4235.9920099999999</v>
      </c>
      <c r="G251" s="191">
        <f t="shared" si="49"/>
        <v>4437.8999999999996</v>
      </c>
      <c r="H251" s="192">
        <f t="shared" si="49"/>
        <v>4851.6899999999996</v>
      </c>
    </row>
    <row r="252" spans="1:8" s="55" customFormat="1" ht="25.5" hidden="1" x14ac:dyDescent="0.25">
      <c r="A252" s="352" t="s">
        <v>92</v>
      </c>
      <c r="B252" s="7" t="s">
        <v>91</v>
      </c>
      <c r="C252" s="7" t="s">
        <v>68</v>
      </c>
      <c r="D252" s="7" t="s">
        <v>30</v>
      </c>
      <c r="E252" s="7" t="s">
        <v>93</v>
      </c>
      <c r="F252" s="191">
        <f>пр.4!G66</f>
        <v>4235.9920099999999</v>
      </c>
      <c r="G252" s="191">
        <f>пр.4!H66</f>
        <v>4437.8999999999996</v>
      </c>
      <c r="H252" s="192">
        <f>пр.4!I66</f>
        <v>4851.6899999999996</v>
      </c>
    </row>
    <row r="253" spans="1:8" s="55" customFormat="1" ht="25.5" hidden="1" x14ac:dyDescent="0.25">
      <c r="A253" s="9" t="s">
        <v>39</v>
      </c>
      <c r="B253" s="7" t="s">
        <v>91</v>
      </c>
      <c r="C253" s="7" t="s">
        <v>115</v>
      </c>
      <c r="D253" s="7"/>
      <c r="E253" s="7"/>
      <c r="F253" s="191">
        <f>F254+F256</f>
        <v>342.47649999999999</v>
      </c>
      <c r="G253" s="191">
        <f>G254+G256</f>
        <v>369.56950000000001</v>
      </c>
      <c r="H253" s="192">
        <f>H254+H256</f>
        <v>396.66250000000002</v>
      </c>
    </row>
    <row r="254" spans="1:8" s="55" customFormat="1" ht="51" hidden="1" x14ac:dyDescent="0.25">
      <c r="A254" s="10" t="s">
        <v>135</v>
      </c>
      <c r="B254" s="7" t="s">
        <v>91</v>
      </c>
      <c r="C254" s="7" t="s">
        <v>116</v>
      </c>
      <c r="D254" s="7"/>
      <c r="E254" s="7"/>
      <c r="F254" s="191">
        <f>F255</f>
        <v>284.47649999999999</v>
      </c>
      <c r="G254" s="191">
        <f>G255</f>
        <v>311.56950000000001</v>
      </c>
      <c r="H254" s="192">
        <f>H255</f>
        <v>338.66250000000002</v>
      </c>
    </row>
    <row r="255" spans="1:8" s="55" customFormat="1" ht="25.5" hidden="1" x14ac:dyDescent="0.25">
      <c r="A255" s="352" t="s">
        <v>92</v>
      </c>
      <c r="B255" s="7" t="s">
        <v>91</v>
      </c>
      <c r="C255" s="7" t="s">
        <v>116</v>
      </c>
      <c r="D255" s="7" t="s">
        <v>30</v>
      </c>
      <c r="E255" s="7" t="s">
        <v>93</v>
      </c>
      <c r="F255" s="191">
        <f>пр.4!G68</f>
        <v>284.47649999999999</v>
      </c>
      <c r="G255" s="191">
        <f>пр.4!H68</f>
        <v>311.56950000000001</v>
      </c>
      <c r="H255" s="192">
        <f>пр.4!I68</f>
        <v>338.66250000000002</v>
      </c>
    </row>
    <row r="256" spans="1:8" s="55" customFormat="1" ht="15.75" hidden="1" x14ac:dyDescent="0.25">
      <c r="A256" s="10" t="s">
        <v>469</v>
      </c>
      <c r="B256" s="7" t="s">
        <v>91</v>
      </c>
      <c r="C256" s="7" t="s">
        <v>468</v>
      </c>
      <c r="D256" s="7"/>
      <c r="E256" s="7"/>
      <c r="F256" s="191">
        <f>F257</f>
        <v>58</v>
      </c>
      <c r="G256" s="191">
        <f>G257</f>
        <v>58</v>
      </c>
      <c r="H256" s="192">
        <f>H257</f>
        <v>58</v>
      </c>
    </row>
    <row r="257" spans="1:8" s="55" customFormat="1" ht="25.5" hidden="1" x14ac:dyDescent="0.25">
      <c r="A257" s="352" t="s">
        <v>92</v>
      </c>
      <c r="B257" s="7" t="s">
        <v>91</v>
      </c>
      <c r="C257" s="7" t="s">
        <v>468</v>
      </c>
      <c r="D257" s="7" t="s">
        <v>30</v>
      </c>
      <c r="E257" s="7" t="s">
        <v>93</v>
      </c>
      <c r="F257" s="191">
        <f>пр.4!G69</f>
        <v>58</v>
      </c>
      <c r="G257" s="191">
        <f>пр.4!H69</f>
        <v>58</v>
      </c>
      <c r="H257" s="192">
        <f>пр.4!I69</f>
        <v>58</v>
      </c>
    </row>
    <row r="258" spans="1:8" s="55" customFormat="1" ht="15.75" hidden="1" x14ac:dyDescent="0.25">
      <c r="A258" s="75" t="s">
        <v>33</v>
      </c>
      <c r="B258" s="7" t="s">
        <v>91</v>
      </c>
      <c r="C258" s="7" t="s">
        <v>75</v>
      </c>
      <c r="D258" s="7"/>
      <c r="E258" s="7"/>
      <c r="F258" s="191">
        <f>F259+F261</f>
        <v>2100</v>
      </c>
      <c r="G258" s="191">
        <f>G259+G261</f>
        <v>76.38</v>
      </c>
      <c r="H258" s="192">
        <f>H259+H261</f>
        <v>84.018000000000001</v>
      </c>
    </row>
    <row r="259" spans="1:8" s="55" customFormat="1" ht="15.75" hidden="1" x14ac:dyDescent="0.25">
      <c r="A259" s="10" t="s">
        <v>152</v>
      </c>
      <c r="B259" s="7" t="s">
        <v>91</v>
      </c>
      <c r="C259" s="7" t="s">
        <v>151</v>
      </c>
      <c r="D259" s="7"/>
      <c r="E259" s="7"/>
      <c r="F259" s="191">
        <f>F260</f>
        <v>2000</v>
      </c>
      <c r="G259" s="191">
        <f>G260</f>
        <v>0</v>
      </c>
      <c r="H259" s="192">
        <f>H260</f>
        <v>0</v>
      </c>
    </row>
    <row r="260" spans="1:8" s="55" customFormat="1" ht="25.5" hidden="1" x14ac:dyDescent="0.25">
      <c r="A260" s="352" t="s">
        <v>92</v>
      </c>
      <c r="B260" s="7" t="s">
        <v>91</v>
      </c>
      <c r="C260" s="7" t="s">
        <v>151</v>
      </c>
      <c r="D260" s="7" t="s">
        <v>30</v>
      </c>
      <c r="E260" s="7" t="s">
        <v>93</v>
      </c>
      <c r="F260" s="191">
        <f>пр.4!G71</f>
        <v>2000</v>
      </c>
      <c r="G260" s="191">
        <f>пр.4!H71</f>
        <v>0</v>
      </c>
      <c r="H260" s="192">
        <f>пр.4!I71</f>
        <v>0</v>
      </c>
    </row>
    <row r="261" spans="1:8" s="55" customFormat="1" ht="25.5" hidden="1" x14ac:dyDescent="0.25">
      <c r="A261" s="10" t="s">
        <v>76</v>
      </c>
      <c r="B261" s="7" t="s">
        <v>91</v>
      </c>
      <c r="C261" s="7" t="s">
        <v>77</v>
      </c>
      <c r="D261" s="7"/>
      <c r="E261" s="7"/>
      <c r="F261" s="191">
        <f>F262</f>
        <v>100</v>
      </c>
      <c r="G261" s="191">
        <f>G262</f>
        <v>76.38</v>
      </c>
      <c r="H261" s="192">
        <f>H262</f>
        <v>84.018000000000001</v>
      </c>
    </row>
    <row r="262" spans="1:8" s="55" customFormat="1" ht="25.5" hidden="1" x14ac:dyDescent="0.25">
      <c r="A262" s="352" t="s">
        <v>92</v>
      </c>
      <c r="B262" s="7" t="s">
        <v>91</v>
      </c>
      <c r="C262" s="7" t="s">
        <v>77</v>
      </c>
      <c r="D262" s="7" t="s">
        <v>30</v>
      </c>
      <c r="E262" s="7" t="s">
        <v>93</v>
      </c>
      <c r="F262" s="191">
        <f>пр.4!G72</f>
        <v>100</v>
      </c>
      <c r="G262" s="191">
        <f>пр.4!H72</f>
        <v>76.38</v>
      </c>
      <c r="H262" s="192">
        <f>пр.4!I72</f>
        <v>84.018000000000001</v>
      </c>
    </row>
    <row r="263" spans="1:8" s="55" customFormat="1" ht="38.25" hidden="1" x14ac:dyDescent="0.25">
      <c r="A263" s="217" t="s">
        <v>325</v>
      </c>
      <c r="B263" s="7" t="s">
        <v>326</v>
      </c>
      <c r="C263" s="7"/>
      <c r="D263" s="7"/>
      <c r="E263" s="7"/>
      <c r="F263" s="191">
        <f t="shared" ref="F263:H265" si="50">F264</f>
        <v>500</v>
      </c>
      <c r="G263" s="191">
        <f t="shared" si="50"/>
        <v>500</v>
      </c>
      <c r="H263" s="192">
        <f t="shared" si="50"/>
        <v>500</v>
      </c>
    </row>
    <row r="264" spans="1:8" s="55" customFormat="1" ht="38.25" hidden="1" x14ac:dyDescent="0.25">
      <c r="A264" s="75" t="s">
        <v>31</v>
      </c>
      <c r="B264" s="7" t="s">
        <v>326</v>
      </c>
      <c r="C264" s="7" t="s">
        <v>66</v>
      </c>
      <c r="D264" s="7"/>
      <c r="E264" s="7"/>
      <c r="F264" s="191">
        <f t="shared" si="50"/>
        <v>500</v>
      </c>
      <c r="G264" s="191">
        <f t="shared" si="50"/>
        <v>500</v>
      </c>
      <c r="H264" s="192">
        <f t="shared" si="50"/>
        <v>500</v>
      </c>
    </row>
    <row r="265" spans="1:8" s="55" customFormat="1" ht="51" hidden="1" x14ac:dyDescent="0.25">
      <c r="A265" s="10" t="s">
        <v>67</v>
      </c>
      <c r="B265" s="7" t="s">
        <v>326</v>
      </c>
      <c r="C265" s="7" t="s">
        <v>68</v>
      </c>
      <c r="D265" s="7"/>
      <c r="E265" s="7"/>
      <c r="F265" s="191">
        <f t="shared" si="50"/>
        <v>500</v>
      </c>
      <c r="G265" s="191">
        <f t="shared" si="50"/>
        <v>500</v>
      </c>
      <c r="H265" s="192">
        <f t="shared" si="50"/>
        <v>500</v>
      </c>
    </row>
    <row r="266" spans="1:8" s="55" customFormat="1" ht="25.5" hidden="1" x14ac:dyDescent="0.25">
      <c r="A266" s="351" t="s">
        <v>92</v>
      </c>
      <c r="B266" s="218" t="s">
        <v>326</v>
      </c>
      <c r="C266" s="218" t="s">
        <v>68</v>
      </c>
      <c r="D266" s="218" t="s">
        <v>30</v>
      </c>
      <c r="E266" s="218" t="s">
        <v>93</v>
      </c>
      <c r="F266" s="219">
        <f>пр.4!G75</f>
        <v>500</v>
      </c>
      <c r="G266" s="219">
        <f>пр.4!H75</f>
        <v>500</v>
      </c>
      <c r="H266" s="220">
        <f>пр.4!I75</f>
        <v>500</v>
      </c>
    </row>
    <row r="267" spans="1:8" s="55" customFormat="1" ht="64.5" hidden="1" thickBot="1" x14ac:dyDescent="0.3">
      <c r="A267" s="153" t="s">
        <v>401</v>
      </c>
      <c r="B267" s="172" t="s">
        <v>94</v>
      </c>
      <c r="C267" s="172"/>
      <c r="D267" s="172"/>
      <c r="E267" s="172"/>
      <c r="F267" s="211">
        <f t="shared" ref="F267:H268" si="51">F268</f>
        <v>17668.620620000002</v>
      </c>
      <c r="G267" s="211">
        <f t="shared" si="51"/>
        <v>15187.503362000001</v>
      </c>
      <c r="H267" s="212">
        <f t="shared" si="51"/>
        <v>16095.607444000001</v>
      </c>
    </row>
    <row r="268" spans="1:8" s="55" customFormat="1" ht="15.75" hidden="1" x14ac:dyDescent="0.25">
      <c r="A268" s="213" t="s">
        <v>13</v>
      </c>
      <c r="B268" s="214" t="s">
        <v>95</v>
      </c>
      <c r="C268" s="214"/>
      <c r="D268" s="214"/>
      <c r="E268" s="214"/>
      <c r="F268" s="215">
        <f t="shared" si="51"/>
        <v>17668.620620000002</v>
      </c>
      <c r="G268" s="215">
        <f t="shared" si="51"/>
        <v>15187.503362000001</v>
      </c>
      <c r="H268" s="216">
        <f t="shared" si="51"/>
        <v>16095.607444000001</v>
      </c>
    </row>
    <row r="269" spans="1:8" s="55" customFormat="1" ht="15.75" hidden="1" x14ac:dyDescent="0.25">
      <c r="A269" s="89" t="s">
        <v>13</v>
      </c>
      <c r="B269" s="112" t="s">
        <v>96</v>
      </c>
      <c r="C269" s="112"/>
      <c r="D269" s="112"/>
      <c r="E269" s="112"/>
      <c r="F269" s="189">
        <f>F270+F282+F274+F278+F293+F297+F301+F305+F309+F289</f>
        <v>17668.620620000002</v>
      </c>
      <c r="G269" s="189">
        <f>G270+G282+G274+G278+G293+G297+G301+G305+G309+G289</f>
        <v>15187.503362000001</v>
      </c>
      <c r="H269" s="190">
        <f>H270+H282+H274+H278+H293+H297+H301+H305+H309+H289</f>
        <v>16095.607444000001</v>
      </c>
    </row>
    <row r="270" spans="1:8" s="55" customFormat="1" ht="25.5" hidden="1" x14ac:dyDescent="0.25">
      <c r="A270" s="9" t="s">
        <v>425</v>
      </c>
      <c r="B270" s="5" t="s">
        <v>97</v>
      </c>
      <c r="C270" s="5"/>
      <c r="D270" s="5"/>
      <c r="E270" s="5"/>
      <c r="F270" s="191">
        <f t="shared" ref="F270:H272" si="52">F271</f>
        <v>1000</v>
      </c>
      <c r="G270" s="191">
        <f t="shared" si="52"/>
        <v>1000</v>
      </c>
      <c r="H270" s="192">
        <f t="shared" si="52"/>
        <v>1000</v>
      </c>
    </row>
    <row r="271" spans="1:8" s="55" customFormat="1" ht="15.75" hidden="1" x14ac:dyDescent="0.25">
      <c r="A271" s="75" t="s">
        <v>33</v>
      </c>
      <c r="B271" s="5" t="s">
        <v>97</v>
      </c>
      <c r="C271" s="5" t="s">
        <v>75</v>
      </c>
      <c r="D271" s="5"/>
      <c r="E271" s="5"/>
      <c r="F271" s="191">
        <f t="shared" si="52"/>
        <v>1000</v>
      </c>
      <c r="G271" s="191">
        <f t="shared" si="52"/>
        <v>1000</v>
      </c>
      <c r="H271" s="192">
        <f t="shared" si="52"/>
        <v>1000</v>
      </c>
    </row>
    <row r="272" spans="1:8" s="55" customFormat="1" ht="15.75" hidden="1" x14ac:dyDescent="0.25">
      <c r="A272" s="10" t="s">
        <v>98</v>
      </c>
      <c r="B272" s="5" t="s">
        <v>97</v>
      </c>
      <c r="C272" s="5" t="s">
        <v>99</v>
      </c>
      <c r="D272" s="5"/>
      <c r="E272" s="5"/>
      <c r="F272" s="191">
        <f t="shared" si="52"/>
        <v>1000</v>
      </c>
      <c r="G272" s="191">
        <f t="shared" si="52"/>
        <v>1000</v>
      </c>
      <c r="H272" s="192">
        <f t="shared" si="52"/>
        <v>1000</v>
      </c>
    </row>
    <row r="273" spans="1:8" s="55" customFormat="1" ht="15.75" hidden="1" x14ac:dyDescent="0.25">
      <c r="A273" s="10" t="s">
        <v>100</v>
      </c>
      <c r="B273" s="5" t="s">
        <v>97</v>
      </c>
      <c r="C273" s="5" t="s">
        <v>99</v>
      </c>
      <c r="D273" s="5" t="s">
        <v>30</v>
      </c>
      <c r="E273" s="5" t="s">
        <v>29</v>
      </c>
      <c r="F273" s="191">
        <f>пр.4!G59</f>
        <v>1000</v>
      </c>
      <c r="G273" s="191">
        <f>пр.4!H59</f>
        <v>1000</v>
      </c>
      <c r="H273" s="192">
        <f>пр.4!I59</f>
        <v>1000</v>
      </c>
    </row>
    <row r="274" spans="1:8" s="55" customFormat="1" ht="25.5" hidden="1" x14ac:dyDescent="0.25">
      <c r="A274" s="9" t="s">
        <v>103</v>
      </c>
      <c r="B274" s="5" t="s">
        <v>104</v>
      </c>
      <c r="C274" s="5"/>
      <c r="D274" s="5"/>
      <c r="E274" s="5"/>
      <c r="F274" s="191">
        <f>F276</f>
        <v>2000</v>
      </c>
      <c r="G274" s="191">
        <f>G276</f>
        <v>550</v>
      </c>
      <c r="H274" s="192">
        <f>H276</f>
        <v>500</v>
      </c>
    </row>
    <row r="275" spans="1:8" s="55" customFormat="1" ht="38.25" hidden="1" x14ac:dyDescent="0.25">
      <c r="A275" s="75" t="s">
        <v>31</v>
      </c>
      <c r="B275" s="5" t="s">
        <v>104</v>
      </c>
      <c r="C275" s="5" t="s">
        <v>66</v>
      </c>
      <c r="D275" s="5"/>
      <c r="E275" s="5"/>
      <c r="F275" s="191">
        <f t="shared" ref="F275:H276" si="53">F276</f>
        <v>2000</v>
      </c>
      <c r="G275" s="191">
        <f t="shared" si="53"/>
        <v>550</v>
      </c>
      <c r="H275" s="192">
        <f t="shared" si="53"/>
        <v>500</v>
      </c>
    </row>
    <row r="276" spans="1:8" s="55" customFormat="1" ht="51" hidden="1" x14ac:dyDescent="0.25">
      <c r="A276" s="10" t="s">
        <v>67</v>
      </c>
      <c r="B276" s="5" t="s">
        <v>104</v>
      </c>
      <c r="C276" s="5" t="s">
        <v>68</v>
      </c>
      <c r="D276" s="5"/>
      <c r="E276" s="5"/>
      <c r="F276" s="191">
        <f t="shared" si="53"/>
        <v>2000</v>
      </c>
      <c r="G276" s="191">
        <f t="shared" si="53"/>
        <v>550</v>
      </c>
      <c r="H276" s="192">
        <f t="shared" si="53"/>
        <v>500</v>
      </c>
    </row>
    <row r="277" spans="1:8" s="55" customFormat="1" ht="25.5" hidden="1" x14ac:dyDescent="0.25">
      <c r="A277" s="10" t="s">
        <v>35</v>
      </c>
      <c r="B277" s="5" t="s">
        <v>104</v>
      </c>
      <c r="C277" s="5" t="s">
        <v>68</v>
      </c>
      <c r="D277" s="5" t="s">
        <v>36</v>
      </c>
      <c r="E277" s="5" t="s">
        <v>37</v>
      </c>
      <c r="F277" s="191">
        <f>пр.4!G163</f>
        <v>2000</v>
      </c>
      <c r="G277" s="191">
        <f>пр.4!H163</f>
        <v>550</v>
      </c>
      <c r="H277" s="192">
        <f>пр.4!I163</f>
        <v>500</v>
      </c>
    </row>
    <row r="278" spans="1:8" s="55" customFormat="1" ht="25.5" hidden="1" x14ac:dyDescent="0.25">
      <c r="A278" s="9" t="s">
        <v>105</v>
      </c>
      <c r="B278" s="5" t="s">
        <v>106</v>
      </c>
      <c r="C278" s="5"/>
      <c r="D278" s="5"/>
      <c r="E278" s="5"/>
      <c r="F278" s="191">
        <f t="shared" ref="F278:H280" si="54">F279</f>
        <v>200</v>
      </c>
      <c r="G278" s="191">
        <f t="shared" si="54"/>
        <v>0</v>
      </c>
      <c r="H278" s="192">
        <f t="shared" si="54"/>
        <v>0</v>
      </c>
    </row>
    <row r="279" spans="1:8" s="55" customFormat="1" ht="38.25" hidden="1" x14ac:dyDescent="0.25">
      <c r="A279" s="75" t="s">
        <v>31</v>
      </c>
      <c r="B279" s="5" t="s">
        <v>106</v>
      </c>
      <c r="C279" s="5" t="s">
        <v>66</v>
      </c>
      <c r="D279" s="5"/>
      <c r="E279" s="5"/>
      <c r="F279" s="191">
        <f t="shared" si="54"/>
        <v>200</v>
      </c>
      <c r="G279" s="191">
        <f t="shared" si="54"/>
        <v>0</v>
      </c>
      <c r="H279" s="192">
        <f t="shared" si="54"/>
        <v>0</v>
      </c>
    </row>
    <row r="280" spans="1:8" s="55" customFormat="1" ht="51" hidden="1" x14ac:dyDescent="0.25">
      <c r="A280" s="10" t="s">
        <v>67</v>
      </c>
      <c r="B280" s="5" t="s">
        <v>106</v>
      </c>
      <c r="C280" s="5" t="s">
        <v>68</v>
      </c>
      <c r="D280" s="5"/>
      <c r="E280" s="5"/>
      <c r="F280" s="191">
        <f t="shared" si="54"/>
        <v>200</v>
      </c>
      <c r="G280" s="191">
        <f t="shared" si="54"/>
        <v>0</v>
      </c>
      <c r="H280" s="192">
        <f t="shared" si="54"/>
        <v>0</v>
      </c>
    </row>
    <row r="281" spans="1:8" s="55" customFormat="1" ht="25.5" hidden="1" x14ac:dyDescent="0.25">
      <c r="A281" s="10" t="s">
        <v>35</v>
      </c>
      <c r="B281" s="5" t="s">
        <v>106</v>
      </c>
      <c r="C281" s="5" t="s">
        <v>68</v>
      </c>
      <c r="D281" s="5" t="s">
        <v>36</v>
      </c>
      <c r="E281" s="5" t="s">
        <v>37</v>
      </c>
      <c r="F281" s="191">
        <f>пр.4!G166</f>
        <v>200</v>
      </c>
      <c r="G281" s="191">
        <f>пр.4!H166</f>
        <v>0</v>
      </c>
      <c r="H281" s="192">
        <f>пр.4!I166</f>
        <v>0</v>
      </c>
    </row>
    <row r="282" spans="1:8" s="55" customFormat="1" ht="63.75" hidden="1" x14ac:dyDescent="0.25">
      <c r="A282" s="9" t="s">
        <v>415</v>
      </c>
      <c r="B282" s="5" t="s">
        <v>101</v>
      </c>
      <c r="C282" s="5"/>
      <c r="D282" s="5"/>
      <c r="E282" s="5"/>
      <c r="F282" s="191">
        <f>F283+F286</f>
        <v>2263.8000000000002</v>
      </c>
      <c r="G282" s="191">
        <f>G283+G286</f>
        <v>2517</v>
      </c>
      <c r="H282" s="192">
        <f>H283+H286</f>
        <v>3185.6</v>
      </c>
    </row>
    <row r="283" spans="1:8" s="55" customFormat="1" ht="102" hidden="1" x14ac:dyDescent="0.25">
      <c r="A283" s="203" t="s">
        <v>27</v>
      </c>
      <c r="B283" s="5" t="s">
        <v>101</v>
      </c>
      <c r="C283" s="5" t="s">
        <v>72</v>
      </c>
      <c r="D283" s="5"/>
      <c r="E283" s="5"/>
      <c r="F283" s="191">
        <f t="shared" ref="F283:H284" si="55">F284</f>
        <v>2188.5940000000001</v>
      </c>
      <c r="G283" s="191">
        <f t="shared" si="55"/>
        <v>2432.5300000000002</v>
      </c>
      <c r="H283" s="192">
        <f t="shared" si="55"/>
        <v>3092.6</v>
      </c>
    </row>
    <row r="284" spans="1:8" s="55" customFormat="1" ht="38.25" hidden="1" x14ac:dyDescent="0.25">
      <c r="A284" s="10" t="s">
        <v>73</v>
      </c>
      <c r="B284" s="5" t="s">
        <v>101</v>
      </c>
      <c r="C284" s="5" t="s">
        <v>74</v>
      </c>
      <c r="D284" s="5"/>
      <c r="E284" s="5"/>
      <c r="F284" s="191">
        <f t="shared" si="55"/>
        <v>2188.5940000000001</v>
      </c>
      <c r="G284" s="191">
        <f t="shared" si="55"/>
        <v>2432.5300000000002</v>
      </c>
      <c r="H284" s="192">
        <f t="shared" si="55"/>
        <v>3092.6</v>
      </c>
    </row>
    <row r="285" spans="1:8" s="55" customFormat="1" ht="25.5" hidden="1" x14ac:dyDescent="0.25">
      <c r="A285" s="10" t="s">
        <v>102</v>
      </c>
      <c r="B285" s="5" t="s">
        <v>101</v>
      </c>
      <c r="C285" s="5" t="s">
        <v>74</v>
      </c>
      <c r="D285" s="5" t="s">
        <v>58</v>
      </c>
      <c r="E285" s="5" t="s">
        <v>40</v>
      </c>
      <c r="F285" s="221">
        <f>пр.4!G83</f>
        <v>2188.5940000000001</v>
      </c>
      <c r="G285" s="221">
        <f>пр.4!H83</f>
        <v>2432.5300000000002</v>
      </c>
      <c r="H285" s="222">
        <f>пр.4!I83</f>
        <v>3092.6</v>
      </c>
    </row>
    <row r="286" spans="1:8" s="55" customFormat="1" ht="38.25" hidden="1" x14ac:dyDescent="0.25">
      <c r="A286" s="75" t="s">
        <v>31</v>
      </c>
      <c r="B286" s="5" t="s">
        <v>101</v>
      </c>
      <c r="C286" s="5" t="s">
        <v>66</v>
      </c>
      <c r="D286" s="5"/>
      <c r="E286" s="5"/>
      <c r="F286" s="191">
        <f t="shared" ref="F286:H287" si="56">F287</f>
        <v>75.206000000000003</v>
      </c>
      <c r="G286" s="191">
        <f t="shared" si="56"/>
        <v>84.47</v>
      </c>
      <c r="H286" s="192">
        <f t="shared" si="56"/>
        <v>93</v>
      </c>
    </row>
    <row r="287" spans="1:8" s="55" customFormat="1" ht="51" hidden="1" x14ac:dyDescent="0.25">
      <c r="A287" s="10" t="s">
        <v>67</v>
      </c>
      <c r="B287" s="5" t="s">
        <v>101</v>
      </c>
      <c r="C287" s="5" t="s">
        <v>68</v>
      </c>
      <c r="D287" s="5"/>
      <c r="E287" s="5"/>
      <c r="F287" s="191">
        <f t="shared" si="56"/>
        <v>75.206000000000003</v>
      </c>
      <c r="G287" s="191">
        <f t="shared" si="56"/>
        <v>84.47</v>
      </c>
      <c r="H287" s="192">
        <f t="shared" si="56"/>
        <v>93</v>
      </c>
    </row>
    <row r="288" spans="1:8" s="55" customFormat="1" ht="25.5" hidden="1" x14ac:dyDescent="0.25">
      <c r="A288" s="10" t="s">
        <v>102</v>
      </c>
      <c r="B288" s="5" t="s">
        <v>101</v>
      </c>
      <c r="C288" s="5" t="s">
        <v>68</v>
      </c>
      <c r="D288" s="5" t="s">
        <v>58</v>
      </c>
      <c r="E288" s="5" t="s">
        <v>40</v>
      </c>
      <c r="F288" s="191">
        <f>пр.4!G85</f>
        <v>75.206000000000003</v>
      </c>
      <c r="G288" s="191">
        <f>пр.4!H85</f>
        <v>84.47</v>
      </c>
      <c r="H288" s="192">
        <f>пр.4!I85</f>
        <v>93</v>
      </c>
    </row>
    <row r="289" spans="1:8" s="55" customFormat="1" ht="153" hidden="1" x14ac:dyDescent="0.25">
      <c r="A289" s="197" t="s">
        <v>421</v>
      </c>
      <c r="B289" s="5" t="s">
        <v>359</v>
      </c>
      <c r="C289" s="5"/>
      <c r="D289" s="5"/>
      <c r="E289" s="5"/>
      <c r="F289" s="191">
        <f>F290</f>
        <v>497.589</v>
      </c>
      <c r="G289" s="191">
        <f t="shared" ref="G289:H291" si="57">G290</f>
        <v>0</v>
      </c>
      <c r="H289" s="192">
        <f t="shared" si="57"/>
        <v>0</v>
      </c>
    </row>
    <row r="290" spans="1:8" s="55" customFormat="1" ht="38.25" hidden="1" x14ac:dyDescent="0.25">
      <c r="A290" s="9" t="s">
        <v>31</v>
      </c>
      <c r="B290" s="5" t="s">
        <v>359</v>
      </c>
      <c r="C290" s="5" t="s">
        <v>66</v>
      </c>
      <c r="D290" s="5"/>
      <c r="E290" s="5"/>
      <c r="F290" s="191">
        <f>F291</f>
        <v>497.589</v>
      </c>
      <c r="G290" s="191">
        <f t="shared" si="57"/>
        <v>0</v>
      </c>
      <c r="H290" s="192">
        <f t="shared" si="57"/>
        <v>0</v>
      </c>
    </row>
    <row r="291" spans="1:8" s="55" customFormat="1" ht="51" hidden="1" x14ac:dyDescent="0.25">
      <c r="A291" s="10" t="s">
        <v>67</v>
      </c>
      <c r="B291" s="5" t="s">
        <v>359</v>
      </c>
      <c r="C291" s="5" t="s">
        <v>68</v>
      </c>
      <c r="D291" s="5"/>
      <c r="E291" s="5"/>
      <c r="F291" s="191">
        <f>F292</f>
        <v>497.589</v>
      </c>
      <c r="G291" s="191">
        <f t="shared" si="57"/>
        <v>0</v>
      </c>
      <c r="H291" s="192">
        <f t="shared" si="57"/>
        <v>0</v>
      </c>
    </row>
    <row r="292" spans="1:8" s="55" customFormat="1" ht="51" hidden="1" x14ac:dyDescent="0.25">
      <c r="A292" s="10" t="s">
        <v>144</v>
      </c>
      <c r="B292" s="5" t="s">
        <v>359</v>
      </c>
      <c r="C292" s="5" t="s">
        <v>68</v>
      </c>
      <c r="D292" s="5" t="s">
        <v>40</v>
      </c>
      <c r="E292" s="5" t="s">
        <v>145</v>
      </c>
      <c r="F292" s="191">
        <f>пр.4!G129</f>
        <v>497.589</v>
      </c>
      <c r="G292" s="191">
        <f>пр.4!H129</f>
        <v>0</v>
      </c>
      <c r="H292" s="192">
        <f>пр.4!I129</f>
        <v>0</v>
      </c>
    </row>
    <row r="293" spans="1:8" s="55" customFormat="1" ht="89.25" hidden="1" x14ac:dyDescent="0.25">
      <c r="A293" s="9" t="s">
        <v>154</v>
      </c>
      <c r="B293" s="5" t="s">
        <v>213</v>
      </c>
      <c r="C293" s="5"/>
      <c r="D293" s="5"/>
      <c r="E293" s="5"/>
      <c r="F293" s="191">
        <f t="shared" ref="F293:H295" si="58">F294</f>
        <v>469.86419999999998</v>
      </c>
      <c r="G293" s="191">
        <f t="shared" si="58"/>
        <v>0</v>
      </c>
      <c r="H293" s="192">
        <f t="shared" si="58"/>
        <v>0</v>
      </c>
    </row>
    <row r="294" spans="1:8" s="55" customFormat="1" ht="15.75" hidden="1" x14ac:dyDescent="0.25">
      <c r="A294" s="9" t="s">
        <v>123</v>
      </c>
      <c r="B294" s="5" t="s">
        <v>213</v>
      </c>
      <c r="C294" s="5" t="s">
        <v>78</v>
      </c>
      <c r="D294" s="5"/>
      <c r="E294" s="5"/>
      <c r="F294" s="191">
        <f t="shared" si="58"/>
        <v>469.86419999999998</v>
      </c>
      <c r="G294" s="191">
        <f t="shared" si="58"/>
        <v>0</v>
      </c>
      <c r="H294" s="192">
        <f t="shared" si="58"/>
        <v>0</v>
      </c>
    </row>
    <row r="295" spans="1:8" s="55" customFormat="1" ht="25.5" hidden="1" x14ac:dyDescent="0.25">
      <c r="A295" s="10" t="s">
        <v>79</v>
      </c>
      <c r="B295" s="5" t="s">
        <v>213</v>
      </c>
      <c r="C295" s="5" t="s">
        <v>4</v>
      </c>
      <c r="D295" s="5"/>
      <c r="E295" s="5"/>
      <c r="F295" s="191">
        <f t="shared" si="58"/>
        <v>469.86419999999998</v>
      </c>
      <c r="G295" s="191">
        <f t="shared" si="58"/>
        <v>0</v>
      </c>
      <c r="H295" s="192">
        <f t="shared" si="58"/>
        <v>0</v>
      </c>
    </row>
    <row r="296" spans="1:8" s="55" customFormat="1" ht="25.5" hidden="1" x14ac:dyDescent="0.25">
      <c r="A296" s="10" t="s">
        <v>35</v>
      </c>
      <c r="B296" s="5" t="s">
        <v>213</v>
      </c>
      <c r="C296" s="5" t="s">
        <v>4</v>
      </c>
      <c r="D296" s="5" t="s">
        <v>36</v>
      </c>
      <c r="E296" s="5" t="s">
        <v>37</v>
      </c>
      <c r="F296" s="191">
        <f>пр.4!G172</f>
        <v>469.86419999999998</v>
      </c>
      <c r="G296" s="191">
        <f>пр.4!H172</f>
        <v>0</v>
      </c>
      <c r="H296" s="192">
        <f>пр.4!I172</f>
        <v>0</v>
      </c>
    </row>
    <row r="297" spans="1:8" s="55" customFormat="1" ht="38.25" hidden="1" x14ac:dyDescent="0.25">
      <c r="A297" s="9" t="s">
        <v>107</v>
      </c>
      <c r="B297" s="5" t="s">
        <v>108</v>
      </c>
      <c r="C297" s="5"/>
      <c r="D297" s="5"/>
      <c r="E297" s="5"/>
      <c r="F297" s="191">
        <f>F299</f>
        <v>600</v>
      </c>
      <c r="G297" s="191">
        <f>G299</f>
        <v>400</v>
      </c>
      <c r="H297" s="192">
        <f>H299</f>
        <v>400</v>
      </c>
    </row>
    <row r="298" spans="1:8" s="55" customFormat="1" ht="38.25" hidden="1" x14ac:dyDescent="0.25">
      <c r="A298" s="75" t="s">
        <v>31</v>
      </c>
      <c r="B298" s="5" t="s">
        <v>108</v>
      </c>
      <c r="C298" s="5" t="s">
        <v>66</v>
      </c>
      <c r="D298" s="5"/>
      <c r="E298" s="5"/>
      <c r="F298" s="191">
        <f t="shared" ref="F298:H299" si="59">F299</f>
        <v>600</v>
      </c>
      <c r="G298" s="191">
        <f t="shared" si="59"/>
        <v>400</v>
      </c>
      <c r="H298" s="192">
        <f t="shared" si="59"/>
        <v>400</v>
      </c>
    </row>
    <row r="299" spans="1:8" s="55" customFormat="1" ht="51" hidden="1" x14ac:dyDescent="0.25">
      <c r="A299" s="10" t="s">
        <v>67</v>
      </c>
      <c r="B299" s="5" t="s">
        <v>108</v>
      </c>
      <c r="C299" s="5" t="s">
        <v>68</v>
      </c>
      <c r="D299" s="5"/>
      <c r="E299" s="5"/>
      <c r="F299" s="191">
        <f t="shared" si="59"/>
        <v>600</v>
      </c>
      <c r="G299" s="191">
        <f t="shared" si="59"/>
        <v>400</v>
      </c>
      <c r="H299" s="192">
        <f t="shared" si="59"/>
        <v>400</v>
      </c>
    </row>
    <row r="300" spans="1:8" s="55" customFormat="1" ht="25.5" hidden="1" x14ac:dyDescent="0.25">
      <c r="A300" s="128" t="s">
        <v>35</v>
      </c>
      <c r="B300" s="7" t="s">
        <v>108</v>
      </c>
      <c r="C300" s="7" t="s">
        <v>68</v>
      </c>
      <c r="D300" s="7" t="s">
        <v>36</v>
      </c>
      <c r="E300" s="7" t="s">
        <v>37</v>
      </c>
      <c r="F300" s="191">
        <f>пр.4!G169</f>
        <v>600</v>
      </c>
      <c r="G300" s="191">
        <f>пр.4!H169</f>
        <v>400</v>
      </c>
      <c r="H300" s="192">
        <f>пр.4!I169</f>
        <v>400</v>
      </c>
    </row>
    <row r="301" spans="1:8" s="55" customFormat="1" ht="38.25" hidden="1" x14ac:dyDescent="0.25">
      <c r="A301" s="9" t="s">
        <v>130</v>
      </c>
      <c r="B301" s="5" t="s">
        <v>109</v>
      </c>
      <c r="C301" s="5"/>
      <c r="D301" s="5"/>
      <c r="E301" s="5"/>
      <c r="F301" s="191">
        <f>F303</f>
        <v>7185.4432800000004</v>
      </c>
      <c r="G301" s="191">
        <f>G303</f>
        <v>7365.0793619999995</v>
      </c>
      <c r="H301" s="192">
        <f>H303</f>
        <v>7544.7154440000004</v>
      </c>
    </row>
    <row r="302" spans="1:8" s="55" customFormat="1" ht="38.25" hidden="1" x14ac:dyDescent="0.25">
      <c r="A302" s="75" t="s">
        <v>31</v>
      </c>
      <c r="B302" s="5" t="s">
        <v>109</v>
      </c>
      <c r="C302" s="5" t="s">
        <v>66</v>
      </c>
      <c r="D302" s="5"/>
      <c r="E302" s="5"/>
      <c r="F302" s="191">
        <f t="shared" ref="F302:H303" si="60">F303</f>
        <v>7185.4432800000004</v>
      </c>
      <c r="G302" s="191">
        <f t="shared" si="60"/>
        <v>7365.0793619999995</v>
      </c>
      <c r="H302" s="192">
        <f t="shared" si="60"/>
        <v>7544.7154440000004</v>
      </c>
    </row>
    <row r="303" spans="1:8" s="55" customFormat="1" ht="51" hidden="1" x14ac:dyDescent="0.25">
      <c r="A303" s="10" t="s">
        <v>67</v>
      </c>
      <c r="B303" s="5" t="s">
        <v>109</v>
      </c>
      <c r="C303" s="5" t="s">
        <v>68</v>
      </c>
      <c r="D303" s="5"/>
      <c r="E303" s="5"/>
      <c r="F303" s="191">
        <f t="shared" si="60"/>
        <v>7185.4432800000004</v>
      </c>
      <c r="G303" s="191">
        <f t="shared" si="60"/>
        <v>7365.0793619999995</v>
      </c>
      <c r="H303" s="192">
        <f t="shared" si="60"/>
        <v>7544.7154440000004</v>
      </c>
    </row>
    <row r="304" spans="1:8" s="55" customFormat="1" ht="15.75" hidden="1" x14ac:dyDescent="0.25">
      <c r="A304" s="10" t="s">
        <v>110</v>
      </c>
      <c r="B304" s="5" t="s">
        <v>109</v>
      </c>
      <c r="C304" s="5" t="s">
        <v>68</v>
      </c>
      <c r="D304" s="5" t="s">
        <v>57</v>
      </c>
      <c r="E304" s="5" t="s">
        <v>30</v>
      </c>
      <c r="F304" s="191">
        <f>пр.4!G183</f>
        <v>7185.4432800000004</v>
      </c>
      <c r="G304" s="191">
        <f>пр.4!H183</f>
        <v>7365.0793619999995</v>
      </c>
      <c r="H304" s="192">
        <f>пр.4!I183</f>
        <v>7544.7154440000004</v>
      </c>
    </row>
    <row r="305" spans="1:8" s="55" customFormat="1" ht="25.5" hidden="1" x14ac:dyDescent="0.25">
      <c r="A305" s="9" t="s">
        <v>111</v>
      </c>
      <c r="B305" s="5" t="s">
        <v>112</v>
      </c>
      <c r="C305" s="5"/>
      <c r="D305" s="5"/>
      <c r="E305" s="5"/>
      <c r="F305" s="191">
        <f>F307</f>
        <v>913.04813999999999</v>
      </c>
      <c r="G305" s="191">
        <f>G307</f>
        <v>1098.68</v>
      </c>
      <c r="H305" s="192">
        <f>H307</f>
        <v>1208.548</v>
      </c>
    </row>
    <row r="306" spans="1:8" s="55" customFormat="1" ht="38.25" hidden="1" x14ac:dyDescent="0.25">
      <c r="A306" s="75" t="s">
        <v>31</v>
      </c>
      <c r="B306" s="5" t="s">
        <v>112</v>
      </c>
      <c r="C306" s="5" t="s">
        <v>66</v>
      </c>
      <c r="D306" s="5"/>
      <c r="E306" s="5"/>
      <c r="F306" s="191">
        <f t="shared" ref="F306:H307" si="61">F307</f>
        <v>913.04813999999999</v>
      </c>
      <c r="G306" s="191">
        <f t="shared" si="61"/>
        <v>1098.68</v>
      </c>
      <c r="H306" s="192">
        <f t="shared" si="61"/>
        <v>1208.548</v>
      </c>
    </row>
    <row r="307" spans="1:8" s="55" customFormat="1" ht="51" hidden="1" x14ac:dyDescent="0.25">
      <c r="A307" s="10" t="s">
        <v>67</v>
      </c>
      <c r="B307" s="5" t="s">
        <v>112</v>
      </c>
      <c r="C307" s="5" t="s">
        <v>68</v>
      </c>
      <c r="D307" s="5"/>
      <c r="E307" s="5"/>
      <c r="F307" s="191">
        <f t="shared" si="61"/>
        <v>913.04813999999999</v>
      </c>
      <c r="G307" s="191">
        <f t="shared" si="61"/>
        <v>1098.68</v>
      </c>
      <c r="H307" s="192">
        <f t="shared" si="61"/>
        <v>1208.548</v>
      </c>
    </row>
    <row r="308" spans="1:8" s="55" customFormat="1" ht="15.75" hidden="1" x14ac:dyDescent="0.25">
      <c r="A308" s="10" t="s">
        <v>110</v>
      </c>
      <c r="B308" s="5" t="s">
        <v>112</v>
      </c>
      <c r="C308" s="5" t="s">
        <v>68</v>
      </c>
      <c r="D308" s="5" t="s">
        <v>57</v>
      </c>
      <c r="E308" s="5" t="s">
        <v>30</v>
      </c>
      <c r="F308" s="191">
        <f>пр.4!G180</f>
        <v>913.04813999999999</v>
      </c>
      <c r="G308" s="191">
        <f>пр.4!H180</f>
        <v>1098.68</v>
      </c>
      <c r="H308" s="192">
        <f>пр.4!I180</f>
        <v>1208.548</v>
      </c>
    </row>
    <row r="309" spans="1:8" s="55" customFormat="1" ht="25.5" hidden="1" x14ac:dyDescent="0.25">
      <c r="A309" s="124" t="s">
        <v>113</v>
      </c>
      <c r="B309" s="7" t="s">
        <v>114</v>
      </c>
      <c r="C309" s="7"/>
      <c r="D309" s="7"/>
      <c r="E309" s="7"/>
      <c r="F309" s="221">
        <f>F311</f>
        <v>2538.8760000000002</v>
      </c>
      <c r="G309" s="221">
        <f>G311</f>
        <v>2256.7440000000001</v>
      </c>
      <c r="H309" s="222">
        <f>H311</f>
        <v>2256.7440000000001</v>
      </c>
    </row>
    <row r="310" spans="1:8" s="55" customFormat="1" ht="25.5" hidden="1" x14ac:dyDescent="0.25">
      <c r="A310" s="124" t="s">
        <v>39</v>
      </c>
      <c r="B310" s="7" t="s">
        <v>114</v>
      </c>
      <c r="C310" s="7" t="s">
        <v>115</v>
      </c>
      <c r="D310" s="7"/>
      <c r="E310" s="7"/>
      <c r="F310" s="221">
        <f t="shared" ref="F310:H311" si="62">F311</f>
        <v>2538.8760000000002</v>
      </c>
      <c r="G310" s="221">
        <f t="shared" si="62"/>
        <v>2256.7440000000001</v>
      </c>
      <c r="H310" s="222">
        <f t="shared" si="62"/>
        <v>2256.7440000000001</v>
      </c>
    </row>
    <row r="311" spans="1:8" s="55" customFormat="1" ht="51.75" hidden="1" x14ac:dyDescent="0.25">
      <c r="A311" s="224" t="s">
        <v>135</v>
      </c>
      <c r="B311" s="7" t="s">
        <v>114</v>
      </c>
      <c r="C311" s="7" t="s">
        <v>116</v>
      </c>
      <c r="D311" s="7"/>
      <c r="E311" s="7"/>
      <c r="F311" s="221">
        <f t="shared" si="62"/>
        <v>2538.8760000000002</v>
      </c>
      <c r="G311" s="221">
        <f t="shared" si="62"/>
        <v>2256.7440000000001</v>
      </c>
      <c r="H311" s="222">
        <f t="shared" si="62"/>
        <v>2256.7440000000001</v>
      </c>
    </row>
    <row r="312" spans="1:8" s="55" customFormat="1" ht="16.5" hidden="1" thickBot="1" x14ac:dyDescent="0.3">
      <c r="A312" s="620" t="s">
        <v>117</v>
      </c>
      <c r="B312" s="225" t="s">
        <v>114</v>
      </c>
      <c r="C312" s="225" t="s">
        <v>116</v>
      </c>
      <c r="D312" s="225" t="s">
        <v>118</v>
      </c>
      <c r="E312" s="225" t="s">
        <v>30</v>
      </c>
      <c r="F312" s="621">
        <f>пр.4!G285</f>
        <v>2538.8760000000002</v>
      </c>
      <c r="G312" s="621">
        <f>пр.4!H285</f>
        <v>2256.7440000000001</v>
      </c>
      <c r="H312" s="622">
        <f>пр.4!I285</f>
        <v>2256.7440000000001</v>
      </c>
    </row>
    <row r="313" spans="1:8" x14ac:dyDescent="0.2">
      <c r="A313" s="627" t="s">
        <v>518</v>
      </c>
      <c r="F313" s="628"/>
      <c r="G313" s="628">
        <f>пр.1!D31</f>
        <v>10040.101940000004</v>
      </c>
      <c r="H313" s="628">
        <f>пр.1!E31</f>
        <v>21507.647569999997</v>
      </c>
    </row>
    <row r="314" spans="1:8" x14ac:dyDescent="0.2">
      <c r="A314" s="629" t="s">
        <v>1</v>
      </c>
      <c r="F314" s="630">
        <f>F195+F21</f>
        <v>511315.6225</v>
      </c>
      <c r="G314" s="630">
        <f>G195+G21+G313</f>
        <v>320966.795232</v>
      </c>
      <c r="H314" s="630">
        <f>H195+H21+H313</f>
        <v>343739.42357399996</v>
      </c>
    </row>
    <row r="317" spans="1:8" x14ac:dyDescent="0.2">
      <c r="F317" s="52" t="str">
        <f>F19</f>
        <v>2026 год</v>
      </c>
      <c r="G317" s="52" t="str">
        <f t="shared" ref="G317:H317" si="63">G19</f>
        <v>2027 год</v>
      </c>
      <c r="H317" s="52" t="str">
        <f t="shared" si="63"/>
        <v>2028 год</v>
      </c>
    </row>
    <row r="318" spans="1:8" x14ac:dyDescent="0.2">
      <c r="A318" s="615" t="s">
        <v>517</v>
      </c>
      <c r="F318" s="613">
        <f>F21/F314</f>
        <v>0.80486536628362071</v>
      </c>
      <c r="G318" s="613">
        <f t="shared" ref="G318:H318" si="64">G21/G314</f>
        <v>0.6524884896851173</v>
      </c>
      <c r="H318" s="613">
        <f t="shared" si="64"/>
        <v>0.60336244619131152</v>
      </c>
    </row>
    <row r="319" spans="1:8" x14ac:dyDescent="0.2">
      <c r="A319" s="615" t="s">
        <v>13</v>
      </c>
      <c r="F319" s="613">
        <f>F195/F314</f>
        <v>0.19513463371637935</v>
      </c>
      <c r="G319" s="613">
        <f t="shared" ref="G319:H319" si="65">G195/G314</f>
        <v>0.316230698439178</v>
      </c>
      <c r="H319" s="613">
        <f t="shared" si="65"/>
        <v>0.33406792665805174</v>
      </c>
    </row>
  </sheetData>
  <autoFilter ref="A19:H312" xr:uid="{E9B44CED-E033-41B0-8AFD-28550037C12F}">
    <filterColumn colId="0">
      <filters>
        <filter val="Итого непрограммные расходы"/>
        <filter val="Итого программные расходы"/>
      </filters>
    </filterColumn>
    <filterColumn colId="2">
      <filters blank="1"/>
    </filterColumn>
  </autoFilter>
  <mergeCells count="3">
    <mergeCell ref="A15:H15"/>
    <mergeCell ref="A16:H16"/>
    <mergeCell ref="A17:H17"/>
  </mergeCells>
  <printOptions horizontalCentered="1"/>
  <pageMargins left="0" right="0" top="1.1811023622047245" bottom="0.39370078740157483" header="0" footer="0"/>
  <pageSetup paperSize="9" scale="8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6ECD-5882-4C87-AA2C-18A8F90CEF78}">
  <sheetPr>
    <pageSetUpPr fitToPage="1"/>
  </sheetPr>
  <dimension ref="A1:J81"/>
  <sheetViews>
    <sheetView topLeftCell="A23" zoomScale="85" zoomScaleNormal="85" workbookViewId="0">
      <selection activeCell="C59" sqref="C59"/>
    </sheetView>
  </sheetViews>
  <sheetFormatPr defaultRowHeight="12.75" outlineLevelRow="1" x14ac:dyDescent="0.2"/>
  <cols>
    <col min="1" max="1" width="26.140625" style="52" customWidth="1"/>
    <col min="2" max="2" width="87.7109375" style="52" customWidth="1"/>
    <col min="3" max="5" width="16.140625" style="52" customWidth="1"/>
    <col min="6" max="7" width="9.140625" style="52"/>
    <col min="8" max="10" width="12.140625" style="52" customWidth="1"/>
    <col min="11" max="16384" width="9.140625" style="52"/>
  </cols>
  <sheetData>
    <row r="1" spans="1:5" s="14" customFormat="1" ht="15" x14ac:dyDescent="0.25">
      <c r="D1" s="15" t="s">
        <v>435</v>
      </c>
      <c r="E1" s="16"/>
    </row>
    <row r="2" spans="1:5" s="17" customFormat="1" ht="15" x14ac:dyDescent="0.25">
      <c r="D2" s="18" t="s">
        <v>285</v>
      </c>
      <c r="E2" s="19"/>
    </row>
    <row r="3" spans="1:5" s="17" customFormat="1" ht="15" x14ac:dyDescent="0.25">
      <c r="D3" s="18" t="s">
        <v>9</v>
      </c>
      <c r="E3" s="19"/>
    </row>
    <row r="4" spans="1:5" s="17" customFormat="1" ht="15" x14ac:dyDescent="0.25">
      <c r="D4" s="18" t="s">
        <v>390</v>
      </c>
      <c r="E4" s="19"/>
    </row>
    <row r="5" spans="1:5" s="17" customFormat="1" ht="15" x14ac:dyDescent="0.25">
      <c r="D5" s="18" t="s">
        <v>3</v>
      </c>
      <c r="E5" s="19"/>
    </row>
    <row r="6" spans="1:5" s="22" customFormat="1" ht="15" x14ac:dyDescent="0.25">
      <c r="A6" s="20"/>
      <c r="B6" s="21"/>
      <c r="C6" s="21"/>
      <c r="D6" s="18" t="str">
        <f>пр.1!D6</f>
        <v>от 10.03.2026 №___</v>
      </c>
      <c r="E6" s="19"/>
    </row>
    <row r="7" spans="1:5" s="17" customFormat="1" ht="15" x14ac:dyDescent="0.25">
      <c r="D7" s="18"/>
      <c r="E7" s="19"/>
    </row>
    <row r="8" spans="1:5" s="14" customFormat="1" ht="15" x14ac:dyDescent="0.25">
      <c r="D8" s="15" t="s">
        <v>435</v>
      </c>
      <c r="E8" s="16"/>
    </row>
    <row r="9" spans="1:5" s="17" customFormat="1" ht="15" x14ac:dyDescent="0.25">
      <c r="D9" s="18" t="s">
        <v>285</v>
      </c>
      <c r="E9" s="19"/>
    </row>
    <row r="10" spans="1:5" s="17" customFormat="1" ht="15" x14ac:dyDescent="0.25">
      <c r="D10" s="18" t="s">
        <v>9</v>
      </c>
      <c r="E10" s="19"/>
    </row>
    <row r="11" spans="1:5" s="17" customFormat="1" ht="15" x14ac:dyDescent="0.25">
      <c r="D11" s="18" t="s">
        <v>390</v>
      </c>
      <c r="E11" s="19"/>
    </row>
    <row r="12" spans="1:5" s="17" customFormat="1" ht="15" x14ac:dyDescent="0.25">
      <c r="D12" s="18" t="s">
        <v>3</v>
      </c>
      <c r="E12" s="19"/>
    </row>
    <row r="13" spans="1:5" s="22" customFormat="1" ht="15" x14ac:dyDescent="0.25">
      <c r="A13" s="20"/>
      <c r="B13" s="21"/>
      <c r="C13" s="21"/>
      <c r="D13" s="18" t="str">
        <f>пр.1!D13</f>
        <v>от 25.12.2025 №80</v>
      </c>
      <c r="E13" s="19"/>
    </row>
    <row r="14" spans="1:5" s="17" customFormat="1" ht="15" x14ac:dyDescent="0.25">
      <c r="D14" s="18"/>
      <c r="E14" s="19"/>
    </row>
    <row r="15" spans="1:5" s="17" customFormat="1" ht="15" hidden="1" x14ac:dyDescent="0.25">
      <c r="D15" s="18" t="s">
        <v>435</v>
      </c>
      <c r="E15" s="19"/>
    </row>
    <row r="16" spans="1:5" s="17" customFormat="1" ht="15" hidden="1" x14ac:dyDescent="0.25">
      <c r="D16" s="18" t="s">
        <v>285</v>
      </c>
      <c r="E16" s="19"/>
    </row>
    <row r="17" spans="1:10" s="17" customFormat="1" ht="15" hidden="1" x14ac:dyDescent="0.25">
      <c r="D17" s="18" t="s">
        <v>9</v>
      </c>
      <c r="E17" s="19"/>
    </row>
    <row r="18" spans="1:10" s="17" customFormat="1" ht="15" hidden="1" x14ac:dyDescent="0.25">
      <c r="D18" s="18" t="s">
        <v>390</v>
      </c>
      <c r="E18" s="19"/>
    </row>
    <row r="19" spans="1:10" s="17" customFormat="1" ht="15" hidden="1" x14ac:dyDescent="0.25">
      <c r="D19" s="18" t="s">
        <v>3</v>
      </c>
      <c r="E19" s="19"/>
    </row>
    <row r="20" spans="1:10" s="22" customFormat="1" ht="15" hidden="1" x14ac:dyDescent="0.25">
      <c r="A20" s="20"/>
      <c r="B20" s="21"/>
      <c r="C20" s="21"/>
      <c r="D20" s="18" t="str">
        <f>пр.1!D20</f>
        <v>от 24.12.2024 №25</v>
      </c>
      <c r="E20" s="19"/>
    </row>
    <row r="21" spans="1:10" s="23" customFormat="1" ht="15.75" x14ac:dyDescent="0.25">
      <c r="A21" s="751" t="s">
        <v>155</v>
      </c>
      <c r="B21" s="751"/>
      <c r="C21" s="751"/>
      <c r="D21" s="751"/>
      <c r="E21" s="751"/>
    </row>
    <row r="22" spans="1:10" s="23" customFormat="1" ht="15.75" x14ac:dyDescent="0.25">
      <c r="A22" s="751" t="s">
        <v>156</v>
      </c>
      <c r="B22" s="751"/>
      <c r="C22" s="751"/>
      <c r="D22" s="751"/>
      <c r="E22" s="751"/>
    </row>
    <row r="23" spans="1:10" s="23" customFormat="1" ht="15.75" x14ac:dyDescent="0.25">
      <c r="A23" s="751" t="s">
        <v>369</v>
      </c>
      <c r="B23" s="751"/>
      <c r="C23" s="751"/>
      <c r="D23" s="751"/>
      <c r="E23" s="751"/>
    </row>
    <row r="24" spans="1:10" s="23" customFormat="1" ht="15.75" x14ac:dyDescent="0.25">
      <c r="A24" s="751" t="s">
        <v>472</v>
      </c>
      <c r="B24" s="751"/>
      <c r="C24" s="751"/>
      <c r="D24" s="751"/>
      <c r="E24" s="751"/>
    </row>
    <row r="25" spans="1:10" s="23" customFormat="1" x14ac:dyDescent="0.2">
      <c r="B25" s="24"/>
      <c r="C25" s="25"/>
    </row>
    <row r="26" spans="1:10" s="27" customFormat="1" ht="27.2" customHeight="1" x14ac:dyDescent="0.25">
      <c r="A26" s="752" t="s">
        <v>157</v>
      </c>
      <c r="B26" s="752" t="s">
        <v>158</v>
      </c>
      <c r="C26" s="752" t="s">
        <v>22</v>
      </c>
      <c r="D26" s="752"/>
      <c r="E26" s="752"/>
    </row>
    <row r="27" spans="1:10" s="27" customFormat="1" ht="21.4" customHeight="1" x14ac:dyDescent="0.25">
      <c r="A27" s="752"/>
      <c r="B27" s="752"/>
      <c r="C27" s="28" t="s">
        <v>317</v>
      </c>
      <c r="D27" s="28" t="s">
        <v>343</v>
      </c>
      <c r="E27" s="28" t="s">
        <v>473</v>
      </c>
    </row>
    <row r="28" spans="1:10" s="23" customFormat="1" ht="15.75" x14ac:dyDescent="0.25">
      <c r="A28" s="29" t="s">
        <v>159</v>
      </c>
      <c r="B28" s="30" t="s">
        <v>160</v>
      </c>
      <c r="C28" s="31">
        <f>C29+C31+C33+C36+C41+C44</f>
        <v>283266.33392999996</v>
      </c>
      <c r="D28" s="31">
        <f>D29+D31+D33+D36+D41+D44</f>
        <v>201993.47699999996</v>
      </c>
      <c r="E28" s="31">
        <f>E29+E31+E33+E36+E41+E44</f>
        <v>210094.81599999996</v>
      </c>
    </row>
    <row r="29" spans="1:10" s="23" customFormat="1" ht="15.75" x14ac:dyDescent="0.25">
      <c r="A29" s="29" t="s">
        <v>161</v>
      </c>
      <c r="B29" s="32" t="s">
        <v>162</v>
      </c>
      <c r="C29" s="33">
        <f>C30</f>
        <v>102646.791</v>
      </c>
      <c r="D29" s="33">
        <f>D30</f>
        <v>111577.06299999999</v>
      </c>
      <c r="E29" s="33">
        <f>E30</f>
        <v>120056.91099999999</v>
      </c>
      <c r="H29" s="554"/>
      <c r="I29" s="554"/>
      <c r="J29" s="554"/>
    </row>
    <row r="30" spans="1:10" s="23" customFormat="1" ht="15.75" x14ac:dyDescent="0.2">
      <c r="A30" s="26" t="s">
        <v>163</v>
      </c>
      <c r="B30" s="460" t="s">
        <v>164</v>
      </c>
      <c r="C30" s="2">
        <v>102646.791</v>
      </c>
      <c r="D30" s="2">
        <v>111577.06299999999</v>
      </c>
      <c r="E30" s="2">
        <v>120056.91099999999</v>
      </c>
      <c r="H30" s="554"/>
      <c r="I30" s="554"/>
      <c r="J30" s="554"/>
    </row>
    <row r="31" spans="1:10" s="23" customFormat="1" ht="31.5" x14ac:dyDescent="0.2">
      <c r="A31" s="34" t="s">
        <v>165</v>
      </c>
      <c r="B31" s="35" t="s">
        <v>166</v>
      </c>
      <c r="C31" s="33">
        <f>C32</f>
        <v>2195.018</v>
      </c>
      <c r="D31" s="33">
        <f>D32</f>
        <v>2934.8139999999999</v>
      </c>
      <c r="E31" s="33">
        <f>E32</f>
        <v>3061.3049999999998</v>
      </c>
      <c r="H31" s="554"/>
      <c r="I31" s="554"/>
      <c r="J31" s="554"/>
    </row>
    <row r="32" spans="1:10" s="23" customFormat="1" ht="15.75" customHeight="1" x14ac:dyDescent="0.2">
      <c r="A32" s="26" t="s">
        <v>167</v>
      </c>
      <c r="B32" s="460" t="s">
        <v>168</v>
      </c>
      <c r="C32" s="2">
        <v>2195.018</v>
      </c>
      <c r="D32" s="2">
        <v>2934.8139999999999</v>
      </c>
      <c r="E32" s="2">
        <v>3061.3049999999998</v>
      </c>
    </row>
    <row r="33" spans="1:5" s="23" customFormat="1" ht="15.75" x14ac:dyDescent="0.2">
      <c r="A33" s="36" t="s">
        <v>169</v>
      </c>
      <c r="B33" s="32" t="s">
        <v>170</v>
      </c>
      <c r="C33" s="33">
        <f>C34+C35</f>
        <v>67940</v>
      </c>
      <c r="D33" s="33">
        <f>D34+D35</f>
        <v>66430</v>
      </c>
      <c r="E33" s="33">
        <f>E34+E35</f>
        <v>67925</v>
      </c>
    </row>
    <row r="34" spans="1:5" s="23" customFormat="1" ht="15.75" x14ac:dyDescent="0.2">
      <c r="A34" s="26" t="s">
        <v>171</v>
      </c>
      <c r="B34" s="37" t="s">
        <v>172</v>
      </c>
      <c r="C34" s="2">
        <v>9280</v>
      </c>
      <c r="D34" s="2">
        <v>9465</v>
      </c>
      <c r="E34" s="2">
        <v>9650</v>
      </c>
    </row>
    <row r="35" spans="1:5" s="23" customFormat="1" ht="15.75" x14ac:dyDescent="0.2">
      <c r="A35" s="26" t="s">
        <v>173</v>
      </c>
      <c r="B35" s="461" t="s">
        <v>174</v>
      </c>
      <c r="C35" s="2">
        <v>58660</v>
      </c>
      <c r="D35" s="2">
        <v>56965</v>
      </c>
      <c r="E35" s="2">
        <v>58275</v>
      </c>
    </row>
    <row r="36" spans="1:5" s="23" customFormat="1" ht="31.5" x14ac:dyDescent="0.2">
      <c r="A36" s="36" t="s">
        <v>175</v>
      </c>
      <c r="B36" s="38" t="s">
        <v>176</v>
      </c>
      <c r="C36" s="39">
        <f>C37+C38+C39+C40</f>
        <v>16979.8</v>
      </c>
      <c r="D36" s="39">
        <f>SUM(D37:D40)</f>
        <v>13979.8</v>
      </c>
      <c r="E36" s="39">
        <f>SUM(E37:E40)</f>
        <v>13979.8</v>
      </c>
    </row>
    <row r="37" spans="1:5" s="23" customFormat="1" ht="54" x14ac:dyDescent="0.2">
      <c r="A37" s="26" t="s">
        <v>177</v>
      </c>
      <c r="B37" s="37" t="s">
        <v>178</v>
      </c>
      <c r="C37" s="2">
        <v>5863</v>
      </c>
      <c r="D37" s="2">
        <v>5863</v>
      </c>
      <c r="E37" s="2">
        <v>5863</v>
      </c>
    </row>
    <row r="38" spans="1:5" s="23" customFormat="1" ht="40.5" x14ac:dyDescent="0.2">
      <c r="A38" s="26" t="s">
        <v>355</v>
      </c>
      <c r="B38" s="40" t="s">
        <v>356</v>
      </c>
      <c r="C38" s="2">
        <v>6000</v>
      </c>
      <c r="D38" s="2">
        <v>3000</v>
      </c>
      <c r="E38" s="2">
        <v>3000</v>
      </c>
    </row>
    <row r="39" spans="1:5" s="23" customFormat="1" ht="27" x14ac:dyDescent="0.2">
      <c r="A39" s="26" t="s">
        <v>179</v>
      </c>
      <c r="B39" s="37" t="s">
        <v>180</v>
      </c>
      <c r="C39" s="2">
        <v>1916.8</v>
      </c>
      <c r="D39" s="2">
        <v>1916.8</v>
      </c>
      <c r="E39" s="2">
        <v>1916.8</v>
      </c>
    </row>
    <row r="40" spans="1:5" s="23" customFormat="1" ht="41.25" customHeight="1" x14ac:dyDescent="0.2">
      <c r="A40" s="41" t="s">
        <v>181</v>
      </c>
      <c r="B40" s="37" t="s">
        <v>182</v>
      </c>
      <c r="C40" s="2">
        <v>3200</v>
      </c>
      <c r="D40" s="2">
        <v>3200</v>
      </c>
      <c r="E40" s="2">
        <v>3200</v>
      </c>
    </row>
    <row r="41" spans="1:5" s="23" customFormat="1" ht="31.5" x14ac:dyDescent="0.2">
      <c r="A41" s="34" t="s">
        <v>183</v>
      </c>
      <c r="B41" s="38" t="s">
        <v>413</v>
      </c>
      <c r="C41" s="33">
        <f>C42+C43</f>
        <v>4071.8</v>
      </c>
      <c r="D41" s="33">
        <f>D42+D43</f>
        <v>4071.8</v>
      </c>
      <c r="E41" s="33">
        <f>E42+E43</f>
        <v>4071.8</v>
      </c>
    </row>
    <row r="42" spans="1:5" s="23" customFormat="1" ht="27" x14ac:dyDescent="0.2">
      <c r="A42" s="26" t="s">
        <v>184</v>
      </c>
      <c r="B42" s="37" t="s">
        <v>185</v>
      </c>
      <c r="C42" s="2">
        <v>3991.8</v>
      </c>
      <c r="D42" s="2">
        <f>1907.8+2084</f>
        <v>3991.8</v>
      </c>
      <c r="E42" s="2">
        <f>1907.8+2084</f>
        <v>3991.8</v>
      </c>
    </row>
    <row r="43" spans="1:5" s="23" customFormat="1" ht="15.75" x14ac:dyDescent="0.2">
      <c r="A43" s="26" t="s">
        <v>186</v>
      </c>
      <c r="B43" s="37" t="s">
        <v>187</v>
      </c>
      <c r="C43" s="2">
        <v>80</v>
      </c>
      <c r="D43" s="2">
        <v>80</v>
      </c>
      <c r="E43" s="2">
        <v>80</v>
      </c>
    </row>
    <row r="44" spans="1:5" s="23" customFormat="1" ht="20.25" customHeight="1" x14ac:dyDescent="0.2">
      <c r="A44" s="34" t="s">
        <v>188</v>
      </c>
      <c r="B44" s="38" t="s">
        <v>189</v>
      </c>
      <c r="C44" s="33">
        <f>C45+C46+C47</f>
        <v>89432.924929999994</v>
      </c>
      <c r="D44" s="33">
        <f>D45+D46+D47</f>
        <v>3000</v>
      </c>
      <c r="E44" s="33">
        <f>E45+E46+E47</f>
        <v>1000</v>
      </c>
    </row>
    <row r="45" spans="1:5" s="23" customFormat="1" ht="54" x14ac:dyDescent="0.2">
      <c r="A45" s="26" t="s">
        <v>190</v>
      </c>
      <c r="B45" s="40" t="s">
        <v>191</v>
      </c>
      <c r="C45" s="2">
        <v>20450</v>
      </c>
      <c r="D45" s="2">
        <v>2000</v>
      </c>
      <c r="E45" s="2">
        <v>0</v>
      </c>
    </row>
    <row r="46" spans="1:5" s="23" customFormat="1" ht="27" x14ac:dyDescent="0.2">
      <c r="A46" s="41" t="s">
        <v>194</v>
      </c>
      <c r="B46" s="37" t="s">
        <v>195</v>
      </c>
      <c r="C46" s="2">
        <v>1000</v>
      </c>
      <c r="D46" s="2">
        <v>1000</v>
      </c>
      <c r="E46" s="2">
        <v>1000</v>
      </c>
    </row>
    <row r="47" spans="1:5" s="23" customFormat="1" ht="31.5" x14ac:dyDescent="0.2">
      <c r="A47" s="26" t="s">
        <v>192</v>
      </c>
      <c r="B47" s="40" t="s">
        <v>193</v>
      </c>
      <c r="C47" s="2">
        <v>67982.924929999994</v>
      </c>
      <c r="D47" s="2">
        <v>0</v>
      </c>
      <c r="E47" s="2">
        <v>0</v>
      </c>
    </row>
    <row r="48" spans="1:5" s="23" customFormat="1" ht="15.75" x14ac:dyDescent="0.2">
      <c r="A48" s="42" t="s">
        <v>196</v>
      </c>
      <c r="B48" s="35" t="s">
        <v>197</v>
      </c>
      <c r="C48" s="31">
        <f>C49+C74</f>
        <v>140601.94857000001</v>
      </c>
      <c r="D48" s="31">
        <f>D49+D74</f>
        <v>88833.216289999997</v>
      </c>
      <c r="E48" s="31">
        <f>E49+E74</f>
        <v>106377.56</v>
      </c>
    </row>
    <row r="49" spans="1:5" s="23" customFormat="1" ht="31.5" x14ac:dyDescent="0.2">
      <c r="A49" s="42" t="s">
        <v>198</v>
      </c>
      <c r="B49" s="35" t="s">
        <v>416</v>
      </c>
      <c r="C49" s="33">
        <f>C50+C53+C68+C72+C52</f>
        <v>140601.94857000001</v>
      </c>
      <c r="D49" s="33">
        <f>D50+D53+D68+D75+D52</f>
        <v>88833.216289999997</v>
      </c>
      <c r="E49" s="33">
        <f>E50+E53+E68+E75+E52</f>
        <v>106377.56</v>
      </c>
    </row>
    <row r="50" spans="1:5" s="23" customFormat="1" ht="15.75" x14ac:dyDescent="0.2">
      <c r="A50" s="43" t="s">
        <v>444</v>
      </c>
      <c r="B50" s="44" t="s">
        <v>199</v>
      </c>
      <c r="C50" s="33">
        <f>C51</f>
        <v>70870.8</v>
      </c>
      <c r="D50" s="33">
        <f>D51</f>
        <v>67030.7</v>
      </c>
      <c r="E50" s="33">
        <f>E51</f>
        <v>70141</v>
      </c>
    </row>
    <row r="51" spans="1:5" s="23" customFormat="1" ht="27" x14ac:dyDescent="0.2">
      <c r="A51" s="41" t="s">
        <v>217</v>
      </c>
      <c r="B51" s="37" t="s">
        <v>443</v>
      </c>
      <c r="C51" s="2">
        <v>70870.8</v>
      </c>
      <c r="D51" s="2">
        <v>67030.7</v>
      </c>
      <c r="E51" s="2">
        <v>70141</v>
      </c>
    </row>
    <row r="52" spans="1:5" s="23" customFormat="1" ht="27" hidden="1" customHeight="1" outlineLevel="1" x14ac:dyDescent="0.2">
      <c r="A52" s="41" t="s">
        <v>200</v>
      </c>
      <c r="B52" s="37" t="s">
        <v>201</v>
      </c>
      <c r="C52" s="2">
        <v>0</v>
      </c>
      <c r="D52" s="2">
        <v>0</v>
      </c>
      <c r="E52" s="2">
        <v>0</v>
      </c>
    </row>
    <row r="53" spans="1:5" s="23" customFormat="1" ht="17.25" customHeight="1" collapsed="1" x14ac:dyDescent="0.2">
      <c r="A53" s="42" t="s">
        <v>202</v>
      </c>
      <c r="B53" s="44" t="s">
        <v>203</v>
      </c>
      <c r="C53" s="33">
        <f>C54+C55+C56+C57+C60+C61+C62+C63+C64+C65+C67+C66+C59</f>
        <v>64458.08857</v>
      </c>
      <c r="D53" s="33">
        <f>D54+D55+D56+D57+D60+D61+D62+D63+D64+D65+D67+D66+D59</f>
        <v>16276.256290000001</v>
      </c>
      <c r="E53" s="33">
        <f>E54+E55+E56+E57+E60+E61+E62+E63+E64+E65+E67+E66+E59</f>
        <v>30041.7</v>
      </c>
    </row>
    <row r="54" spans="1:5" s="23" customFormat="1" ht="69" hidden="1" customHeight="1" outlineLevel="1" x14ac:dyDescent="0.2">
      <c r="A54" s="41" t="s">
        <v>204</v>
      </c>
      <c r="B54" s="37" t="s">
        <v>226</v>
      </c>
      <c r="C54" s="45">
        <v>0</v>
      </c>
      <c r="D54" s="45">
        <v>0</v>
      </c>
      <c r="E54" s="45">
        <v>0</v>
      </c>
    </row>
    <row r="55" spans="1:5" s="23" customFormat="1" ht="36" hidden="1" customHeight="1" outlineLevel="1" x14ac:dyDescent="0.2">
      <c r="A55" s="41" t="s">
        <v>204</v>
      </c>
      <c r="B55" s="37"/>
      <c r="C55" s="46">
        <v>0</v>
      </c>
      <c r="D55" s="46">
        <v>0</v>
      </c>
      <c r="E55" s="46"/>
    </row>
    <row r="56" spans="1:5" s="23" customFormat="1" ht="54" collapsed="1" x14ac:dyDescent="0.2">
      <c r="A56" s="41" t="s">
        <v>205</v>
      </c>
      <c r="B56" s="37" t="s">
        <v>428</v>
      </c>
      <c r="C56" s="2">
        <v>0</v>
      </c>
      <c r="D56" s="2">
        <v>5217.8</v>
      </c>
      <c r="E56" s="2">
        <v>5123.5</v>
      </c>
    </row>
    <row r="57" spans="1:5" s="23" customFormat="1" ht="34.5" hidden="1" customHeight="1" outlineLevel="1" x14ac:dyDescent="0.2">
      <c r="A57" s="41" t="s">
        <v>205</v>
      </c>
      <c r="B57" s="37" t="s">
        <v>222</v>
      </c>
      <c r="C57" s="2">
        <v>0</v>
      </c>
      <c r="D57" s="2">
        <v>0</v>
      </c>
      <c r="E57" s="2">
        <v>0</v>
      </c>
    </row>
    <row r="58" spans="1:5" s="23" customFormat="1" ht="40.5" hidden="1" customHeight="1" outlineLevel="1" x14ac:dyDescent="0.2">
      <c r="A58" s="41" t="s">
        <v>223</v>
      </c>
      <c r="B58" s="37" t="s">
        <v>224</v>
      </c>
      <c r="C58" s="2">
        <v>0</v>
      </c>
      <c r="D58" s="2">
        <v>0</v>
      </c>
      <c r="E58" s="2">
        <v>0</v>
      </c>
    </row>
    <row r="59" spans="1:5" s="23" customFormat="1" ht="40.5" collapsed="1" x14ac:dyDescent="0.2">
      <c r="A59" s="41" t="s">
        <v>538</v>
      </c>
      <c r="B59" s="37" t="s">
        <v>539</v>
      </c>
      <c r="C59" s="2">
        <v>30208.873800000001</v>
      </c>
      <c r="D59" s="2">
        <v>0</v>
      </c>
      <c r="E59" s="2">
        <v>0</v>
      </c>
    </row>
    <row r="60" spans="1:5" s="23" customFormat="1" ht="27" collapsed="1" x14ac:dyDescent="0.2">
      <c r="A60" s="462" t="s">
        <v>206</v>
      </c>
      <c r="B60" s="37" t="s">
        <v>429</v>
      </c>
      <c r="C60" s="2">
        <v>17000</v>
      </c>
      <c r="D60" s="2">
        <v>0</v>
      </c>
      <c r="E60" s="2">
        <v>0</v>
      </c>
    </row>
    <row r="61" spans="1:5" s="23" customFormat="1" ht="27" x14ac:dyDescent="0.2">
      <c r="A61" s="41" t="s">
        <v>212</v>
      </c>
      <c r="B61" s="37" t="s">
        <v>221</v>
      </c>
      <c r="C61" s="2">
        <v>2217.0455999999999</v>
      </c>
      <c r="D61" s="2">
        <v>0</v>
      </c>
      <c r="E61" s="46">
        <v>0</v>
      </c>
    </row>
    <row r="62" spans="1:5" s="23" customFormat="1" ht="40.5" hidden="1" outlineLevel="1" x14ac:dyDescent="0.2">
      <c r="A62" s="41" t="s">
        <v>207</v>
      </c>
      <c r="B62" s="47" t="s">
        <v>284</v>
      </c>
      <c r="C62" s="45">
        <v>0</v>
      </c>
      <c r="D62" s="45">
        <v>0</v>
      </c>
      <c r="E62" s="45">
        <v>0</v>
      </c>
    </row>
    <row r="63" spans="1:5" s="23" customFormat="1" ht="40.5" collapsed="1" x14ac:dyDescent="0.2">
      <c r="A63" s="41" t="s">
        <v>207</v>
      </c>
      <c r="B63" s="37" t="s">
        <v>220</v>
      </c>
      <c r="C63" s="2">
        <v>5.2691699999999999</v>
      </c>
      <c r="D63" s="2">
        <v>6.4562900000000001</v>
      </c>
      <c r="E63" s="2">
        <v>0</v>
      </c>
    </row>
    <row r="64" spans="1:5" s="23" customFormat="1" ht="66" customHeight="1" x14ac:dyDescent="0.2">
      <c r="A64" s="41" t="s">
        <v>207</v>
      </c>
      <c r="B64" s="37" t="s">
        <v>511</v>
      </c>
      <c r="C64" s="2">
        <v>11052</v>
      </c>
      <c r="D64" s="2">
        <v>11052</v>
      </c>
      <c r="E64" s="2">
        <v>11052</v>
      </c>
    </row>
    <row r="65" spans="1:5" s="23" customFormat="1" ht="27" x14ac:dyDescent="0.2">
      <c r="A65" s="41" t="s">
        <v>207</v>
      </c>
      <c r="B65" s="37" t="s">
        <v>216</v>
      </c>
      <c r="C65" s="2">
        <v>1800</v>
      </c>
      <c r="D65" s="2">
        <v>0</v>
      </c>
      <c r="E65" s="2">
        <v>0</v>
      </c>
    </row>
    <row r="66" spans="1:5" s="23" customFormat="1" ht="40.5" x14ac:dyDescent="0.2">
      <c r="A66" s="41" t="s">
        <v>207</v>
      </c>
      <c r="B66" s="37" t="s">
        <v>541</v>
      </c>
      <c r="C66" s="2">
        <v>2174.9</v>
      </c>
      <c r="D66" s="2">
        <v>0</v>
      </c>
      <c r="E66" s="2">
        <v>0</v>
      </c>
    </row>
    <row r="67" spans="1:5" s="23" customFormat="1" ht="40.5" x14ac:dyDescent="0.2">
      <c r="A67" s="41" t="s">
        <v>207</v>
      </c>
      <c r="B67" s="37" t="s">
        <v>540</v>
      </c>
      <c r="C67" s="2">
        <v>0</v>
      </c>
      <c r="D67" s="2">
        <v>0</v>
      </c>
      <c r="E67" s="2">
        <v>13866.2</v>
      </c>
    </row>
    <row r="68" spans="1:5" s="23" customFormat="1" ht="15.75" x14ac:dyDescent="0.2">
      <c r="A68" s="48" t="s">
        <v>208</v>
      </c>
      <c r="B68" s="44" t="s">
        <v>209</v>
      </c>
      <c r="C68" s="49">
        <f>C69+C70+C71</f>
        <v>5273.06</v>
      </c>
      <c r="D68" s="49">
        <f>D69+D70+D71</f>
        <v>5526.26</v>
      </c>
      <c r="E68" s="49">
        <f>E69+E70+E71</f>
        <v>6194.86</v>
      </c>
    </row>
    <row r="69" spans="1:5" s="23" customFormat="1" ht="27" x14ac:dyDescent="0.2">
      <c r="A69" s="463" t="s">
        <v>210</v>
      </c>
      <c r="B69" s="37" t="s">
        <v>417</v>
      </c>
      <c r="C69" s="464">
        <v>2263.8000000000002</v>
      </c>
      <c r="D69" s="464">
        <v>2517</v>
      </c>
      <c r="E69" s="464">
        <v>3185.6</v>
      </c>
    </row>
    <row r="70" spans="1:5" s="50" customFormat="1" ht="40.5" x14ac:dyDescent="0.2">
      <c r="A70" s="463" t="s">
        <v>211</v>
      </c>
      <c r="B70" s="37" t="s">
        <v>512</v>
      </c>
      <c r="C70" s="464">
        <v>2998.7</v>
      </c>
      <c r="D70" s="464">
        <v>2998.7</v>
      </c>
      <c r="E70" s="464">
        <v>2998.7</v>
      </c>
    </row>
    <row r="71" spans="1:5" s="50" customFormat="1" ht="40.5" x14ac:dyDescent="0.2">
      <c r="A71" s="463" t="s">
        <v>211</v>
      </c>
      <c r="B71" s="37" t="s">
        <v>513</v>
      </c>
      <c r="C71" s="464">
        <v>10.56</v>
      </c>
      <c r="D71" s="464">
        <v>10.56</v>
      </c>
      <c r="E71" s="464">
        <v>10.56</v>
      </c>
    </row>
    <row r="72" spans="1:5" s="23" customFormat="1" ht="15.75" hidden="1" x14ac:dyDescent="0.2">
      <c r="A72" s="48" t="s">
        <v>225</v>
      </c>
      <c r="B72" s="44" t="s">
        <v>2</v>
      </c>
      <c r="C72" s="49">
        <f>SUM(C73)</f>
        <v>0</v>
      </c>
      <c r="D72" s="49">
        <f>SUM(D73)</f>
        <v>0</v>
      </c>
      <c r="E72" s="49">
        <f>SUM(E73)</f>
        <v>0</v>
      </c>
    </row>
    <row r="73" spans="1:5" s="23" customFormat="1" ht="54" hidden="1" x14ac:dyDescent="0.2">
      <c r="A73" s="463" t="s">
        <v>450</v>
      </c>
      <c r="B73" s="37" t="s">
        <v>470</v>
      </c>
      <c r="C73" s="464">
        <v>0</v>
      </c>
      <c r="D73" s="464">
        <v>0</v>
      </c>
      <c r="E73" s="464">
        <v>0</v>
      </c>
    </row>
    <row r="74" spans="1:5" s="23" customFormat="1" ht="63" hidden="1" x14ac:dyDescent="0.2">
      <c r="A74" s="48" t="s">
        <v>451</v>
      </c>
      <c r="B74" s="35" t="s">
        <v>452</v>
      </c>
      <c r="C74" s="49">
        <f>SUM(C75)</f>
        <v>0</v>
      </c>
      <c r="D74" s="49">
        <f>SUM(D76)</f>
        <v>0</v>
      </c>
      <c r="E74" s="49">
        <f>SUM(E76)</f>
        <v>0</v>
      </c>
    </row>
    <row r="75" spans="1:5" s="51" customFormat="1" ht="78.75" hidden="1" x14ac:dyDescent="0.2">
      <c r="A75" s="48" t="s">
        <v>447</v>
      </c>
      <c r="B75" s="35" t="s">
        <v>446</v>
      </c>
      <c r="C75" s="49">
        <f>SUM(C76)</f>
        <v>0</v>
      </c>
      <c r="D75" s="49">
        <f>SUM(D77)</f>
        <v>0</v>
      </c>
      <c r="E75" s="49">
        <f>SUM(E77)</f>
        <v>0</v>
      </c>
    </row>
    <row r="76" spans="1:5" s="51" customFormat="1" ht="54" hidden="1" x14ac:dyDescent="0.2">
      <c r="A76" s="42" t="s">
        <v>453</v>
      </c>
      <c r="B76" s="44" t="s">
        <v>454</v>
      </c>
      <c r="C76" s="33">
        <f>C77</f>
        <v>0</v>
      </c>
      <c r="D76" s="33">
        <v>0</v>
      </c>
      <c r="E76" s="33">
        <v>0</v>
      </c>
    </row>
    <row r="77" spans="1:5" s="23" customFormat="1" ht="40.5" hidden="1" x14ac:dyDescent="0.2">
      <c r="A77" s="41" t="s">
        <v>448</v>
      </c>
      <c r="B77" s="37" t="s">
        <v>449</v>
      </c>
      <c r="C77" s="2">
        <v>0</v>
      </c>
      <c r="D77" s="2">
        <v>0</v>
      </c>
      <c r="E77" s="2">
        <v>0</v>
      </c>
    </row>
    <row r="78" spans="1:5" s="23" customFormat="1" ht="15.75" x14ac:dyDescent="0.2">
      <c r="A78" s="750" t="s">
        <v>1</v>
      </c>
      <c r="B78" s="750"/>
      <c r="C78" s="31">
        <f>C28+C48</f>
        <v>423868.28249999997</v>
      </c>
      <c r="D78" s="31">
        <f>D28+D48</f>
        <v>290826.69328999997</v>
      </c>
      <c r="E78" s="31">
        <f>E28+E48</f>
        <v>316472.37599999993</v>
      </c>
    </row>
    <row r="81" spans="3:3" x14ac:dyDescent="0.2">
      <c r="C81" s="53"/>
    </row>
  </sheetData>
  <mergeCells count="8">
    <mergeCell ref="A78:B78"/>
    <mergeCell ref="A21:E21"/>
    <mergeCell ref="A22:E22"/>
    <mergeCell ref="A23:E23"/>
    <mergeCell ref="A24:E24"/>
    <mergeCell ref="A26:A27"/>
    <mergeCell ref="B26:B27"/>
    <mergeCell ref="C26:E26"/>
  </mergeCells>
  <printOptions horizontalCentered="1"/>
  <pageMargins left="0" right="0" top="1.3779527559055118" bottom="0.39370078740157483" header="0.39370078740157483" footer="0"/>
  <pageSetup paperSize="9" scale="4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4CED-E033-41B0-8AFD-28550037C12F}">
  <sheetPr>
    <pageSetUpPr fitToPage="1"/>
  </sheetPr>
  <dimension ref="A1:H339"/>
  <sheetViews>
    <sheetView topLeftCell="A52" zoomScale="85" zoomScaleNormal="85" workbookViewId="0">
      <selection activeCell="F52" sqref="F52"/>
    </sheetView>
  </sheetViews>
  <sheetFormatPr defaultRowHeight="12.75" x14ac:dyDescent="0.2"/>
  <cols>
    <col min="1" max="1" width="100.7109375" style="52" customWidth="1"/>
    <col min="2" max="2" width="13.42578125" style="52" bestFit="1" customWidth="1"/>
    <col min="3" max="5" width="4.42578125" style="52" customWidth="1"/>
    <col min="6" max="8" width="13.28515625" style="52" customWidth="1"/>
    <col min="9" max="16384" width="9.140625" style="52"/>
  </cols>
  <sheetData>
    <row r="1" spans="1:8" ht="15.75" x14ac:dyDescent="0.25">
      <c r="A1" s="202"/>
      <c r="B1" s="202"/>
      <c r="C1" s="202"/>
      <c r="D1" s="202"/>
      <c r="E1" s="202"/>
      <c r="F1" s="306" t="s">
        <v>436</v>
      </c>
      <c r="G1" s="202"/>
      <c r="H1" s="202"/>
    </row>
    <row r="2" spans="1:8" ht="15.75" x14ac:dyDescent="0.25">
      <c r="A2" s="202"/>
      <c r="B2" s="202"/>
      <c r="C2" s="202"/>
      <c r="D2" s="202"/>
      <c r="E2" s="202"/>
      <c r="F2" s="337" t="str">
        <f>пр.1!D2</f>
        <v xml:space="preserve">к  решению совета депутатов             </v>
      </c>
      <c r="G2" s="202"/>
      <c r="H2" s="202"/>
    </row>
    <row r="3" spans="1:8" ht="15.75" x14ac:dyDescent="0.25">
      <c r="A3" s="202"/>
      <c r="B3" s="202"/>
      <c r="C3" s="202"/>
      <c r="D3" s="202"/>
      <c r="E3" s="202"/>
      <c r="F3" s="337" t="str">
        <f>пр.1!D3</f>
        <v>Никольского городского поселения</v>
      </c>
      <c r="G3" s="202"/>
      <c r="H3" s="202"/>
    </row>
    <row r="4" spans="1:8" ht="15.75" x14ac:dyDescent="0.25">
      <c r="A4" s="202"/>
      <c r="B4" s="202"/>
      <c r="C4" s="202"/>
      <c r="D4" s="202"/>
      <c r="E4" s="202"/>
      <c r="F4" s="337" t="str">
        <f>пр.1!D4</f>
        <v>Тосненского муниципального района</v>
      </c>
      <c r="G4" s="202"/>
      <c r="H4" s="202"/>
    </row>
    <row r="5" spans="1:8" ht="15.75" x14ac:dyDescent="0.25">
      <c r="A5" s="202"/>
      <c r="B5" s="202"/>
      <c r="C5" s="202"/>
      <c r="D5" s="202"/>
      <c r="E5" s="202"/>
      <c r="F5" s="337" t="str">
        <f>пр.1!D5</f>
        <v>Ленинградской области</v>
      </c>
      <c r="G5" s="202"/>
      <c r="H5" s="202"/>
    </row>
    <row r="6" spans="1:8" ht="15.75" x14ac:dyDescent="0.25">
      <c r="A6" s="202"/>
      <c r="B6" s="202"/>
      <c r="C6" s="202"/>
      <c r="D6" s="202"/>
      <c r="E6" s="202"/>
      <c r="F6" s="337" t="str">
        <f>пр.1!D6</f>
        <v>от 10.03.2026 №___</v>
      </c>
      <c r="G6" s="202"/>
      <c r="H6" s="202"/>
    </row>
    <row r="7" spans="1:8" ht="15.75" x14ac:dyDescent="0.25">
      <c r="A7" s="202"/>
      <c r="B7" s="202"/>
      <c r="C7" s="202"/>
      <c r="D7" s="202"/>
      <c r="E7" s="202"/>
      <c r="F7" s="337"/>
      <c r="G7" s="202"/>
      <c r="H7" s="202"/>
    </row>
    <row r="8" spans="1:8" ht="15.75" x14ac:dyDescent="0.25">
      <c r="A8" s="202"/>
      <c r="B8" s="202"/>
      <c r="C8" s="202"/>
      <c r="D8" s="202"/>
      <c r="E8" s="202"/>
      <c r="F8" s="306" t="s">
        <v>436</v>
      </c>
      <c r="G8" s="202"/>
      <c r="H8" s="202"/>
    </row>
    <row r="9" spans="1:8" ht="15.75" x14ac:dyDescent="0.25">
      <c r="A9" s="202"/>
      <c r="B9" s="202"/>
      <c r="C9" s="202"/>
      <c r="D9" s="202"/>
      <c r="E9" s="202"/>
      <c r="F9" s="337" t="str">
        <f>пр.1!D9</f>
        <v xml:space="preserve">к  решению совета депутатов             </v>
      </c>
      <c r="G9" s="202"/>
      <c r="H9" s="202"/>
    </row>
    <row r="10" spans="1:8" ht="15.75" x14ac:dyDescent="0.25">
      <c r="A10" s="202"/>
      <c r="B10" s="202"/>
      <c r="C10" s="202"/>
      <c r="D10" s="202"/>
      <c r="E10" s="202"/>
      <c r="F10" s="337" t="str">
        <f>пр.1!D10</f>
        <v>Никольского городского поселения</v>
      </c>
      <c r="G10" s="202"/>
      <c r="H10" s="202"/>
    </row>
    <row r="11" spans="1:8" ht="15.75" x14ac:dyDescent="0.25">
      <c r="A11" s="202"/>
      <c r="B11" s="202"/>
      <c r="C11" s="202"/>
      <c r="D11" s="202"/>
      <c r="E11" s="202"/>
      <c r="F11" s="337" t="str">
        <f>пр.1!D11</f>
        <v>Тосненского муниципального района</v>
      </c>
      <c r="G11" s="202"/>
      <c r="H11" s="202"/>
    </row>
    <row r="12" spans="1:8" ht="15.75" x14ac:dyDescent="0.25">
      <c r="A12" s="202"/>
      <c r="B12" s="202"/>
      <c r="C12" s="202"/>
      <c r="D12" s="202"/>
      <c r="E12" s="202"/>
      <c r="F12" s="337" t="str">
        <f>пр.1!D12</f>
        <v>Ленинградской области</v>
      </c>
      <c r="G12" s="202"/>
      <c r="H12" s="202"/>
    </row>
    <row r="13" spans="1:8" ht="15.75" x14ac:dyDescent="0.25">
      <c r="A13" s="202"/>
      <c r="B13" s="202"/>
      <c r="C13" s="202"/>
      <c r="D13" s="202"/>
      <c r="E13" s="202"/>
      <c r="F13" s="337" t="str">
        <f>пр.1!D13</f>
        <v>от 25.12.2025 №80</v>
      </c>
      <c r="G13" s="202"/>
      <c r="H13" s="202"/>
    </row>
    <row r="14" spans="1:8" ht="15.75" x14ac:dyDescent="0.25">
      <c r="A14" s="202"/>
      <c r="B14" s="202"/>
      <c r="C14" s="202"/>
      <c r="D14" s="202"/>
      <c r="E14" s="202"/>
      <c r="F14" s="337"/>
      <c r="G14" s="202"/>
      <c r="H14" s="202"/>
    </row>
    <row r="15" spans="1:8" ht="15.75" hidden="1" x14ac:dyDescent="0.25">
      <c r="A15" s="202"/>
      <c r="B15" s="202"/>
      <c r="C15" s="202"/>
      <c r="D15" s="202"/>
      <c r="E15" s="202"/>
      <c r="F15" s="306" t="s">
        <v>436</v>
      </c>
      <c r="G15" s="202"/>
      <c r="H15" s="202"/>
    </row>
    <row r="16" spans="1:8" ht="15.75" hidden="1" x14ac:dyDescent="0.25">
      <c r="A16" s="202"/>
      <c r="B16" s="202"/>
      <c r="C16" s="202"/>
      <c r="D16" s="202"/>
      <c r="E16" s="202"/>
      <c r="F16" s="337" t="str">
        <f>пр.1!D16</f>
        <v xml:space="preserve">к  решению совета депутатов             </v>
      </c>
      <c r="G16" s="202"/>
      <c r="H16" s="202"/>
    </row>
    <row r="17" spans="1:8" ht="15.75" hidden="1" x14ac:dyDescent="0.25">
      <c r="A17" s="202"/>
      <c r="B17" s="202"/>
      <c r="C17" s="202"/>
      <c r="D17" s="202"/>
      <c r="E17" s="202"/>
      <c r="F17" s="337" t="str">
        <f>пр.1!D17</f>
        <v>Никольского городского поселения</v>
      </c>
      <c r="G17" s="202"/>
      <c r="H17" s="202"/>
    </row>
    <row r="18" spans="1:8" ht="15.75" hidden="1" x14ac:dyDescent="0.25">
      <c r="A18" s="202"/>
      <c r="B18" s="202"/>
      <c r="C18" s="202"/>
      <c r="D18" s="202"/>
      <c r="E18" s="202"/>
      <c r="F18" s="337" t="str">
        <f>пр.1!D18</f>
        <v>Тосненского муниципального района</v>
      </c>
      <c r="G18" s="202"/>
      <c r="H18" s="202"/>
    </row>
    <row r="19" spans="1:8" ht="15.75" hidden="1" x14ac:dyDescent="0.25">
      <c r="A19" s="202"/>
      <c r="B19" s="202"/>
      <c r="C19" s="202"/>
      <c r="D19" s="202"/>
      <c r="E19" s="202"/>
      <c r="F19" s="337" t="str">
        <f>пр.1!D19</f>
        <v>Ленинградской области</v>
      </c>
      <c r="G19" s="202"/>
      <c r="H19" s="202"/>
    </row>
    <row r="20" spans="1:8" ht="15.75" hidden="1" x14ac:dyDescent="0.25">
      <c r="A20" s="202"/>
      <c r="B20" s="202"/>
      <c r="C20" s="202"/>
      <c r="D20" s="202"/>
      <c r="E20" s="202"/>
      <c r="F20" s="337" t="str">
        <f>пр.1!D20</f>
        <v>от 24.12.2024 №25</v>
      </c>
      <c r="G20" s="202"/>
      <c r="H20" s="202"/>
    </row>
    <row r="21" spans="1:8" x14ac:dyDescent="0.2">
      <c r="A21" s="202"/>
      <c r="B21" s="202"/>
      <c r="C21" s="202"/>
      <c r="D21" s="202"/>
      <c r="E21" s="202"/>
      <c r="F21" s="202"/>
      <c r="G21" s="202"/>
      <c r="H21" s="202"/>
    </row>
    <row r="22" spans="1:8" s="55" customFormat="1" ht="15.75" x14ac:dyDescent="0.25">
      <c r="A22" s="753" t="s">
        <v>461</v>
      </c>
      <c r="B22" s="753"/>
      <c r="C22" s="753"/>
      <c r="D22" s="753"/>
      <c r="E22" s="753"/>
      <c r="F22" s="753"/>
      <c r="G22" s="753"/>
      <c r="H22" s="753"/>
    </row>
    <row r="23" spans="1:8" s="55" customFormat="1" ht="15.75" x14ac:dyDescent="0.25">
      <c r="A23" s="753" t="s">
        <v>460</v>
      </c>
      <c r="B23" s="753"/>
      <c r="C23" s="753"/>
      <c r="D23" s="753"/>
      <c r="E23" s="753"/>
      <c r="F23" s="753"/>
      <c r="G23" s="753"/>
      <c r="H23" s="753"/>
    </row>
    <row r="24" spans="1:8" s="55" customFormat="1" ht="15.75" x14ac:dyDescent="0.25">
      <c r="A24" s="753" t="s">
        <v>474</v>
      </c>
      <c r="B24" s="753"/>
      <c r="C24" s="753"/>
      <c r="D24" s="753"/>
      <c r="E24" s="753"/>
      <c r="F24" s="753"/>
      <c r="G24" s="753"/>
      <c r="H24" s="753"/>
    </row>
    <row r="25" spans="1:8" s="55" customFormat="1" ht="16.5" thickBot="1" x14ac:dyDescent="0.3">
      <c r="A25" s="13"/>
      <c r="B25" s="13"/>
      <c r="C25" s="13"/>
      <c r="D25" s="13"/>
      <c r="E25" s="13"/>
      <c r="F25" s="13"/>
      <c r="H25" s="589"/>
    </row>
    <row r="26" spans="1:8" s="55" customFormat="1" ht="25.5" x14ac:dyDescent="0.25">
      <c r="A26" s="754" t="s">
        <v>0</v>
      </c>
      <c r="B26" s="756" t="s">
        <v>5</v>
      </c>
      <c r="C26" s="756" t="s">
        <v>19</v>
      </c>
      <c r="D26" s="756" t="s">
        <v>20</v>
      </c>
      <c r="E26" s="756" t="s">
        <v>21</v>
      </c>
      <c r="F26" s="233" t="s">
        <v>445</v>
      </c>
      <c r="G26" s="233" t="s">
        <v>445</v>
      </c>
      <c r="H26" s="234" t="s">
        <v>445</v>
      </c>
    </row>
    <row r="27" spans="1:8" s="55" customFormat="1" ht="16.5" thickBot="1" x14ac:dyDescent="0.3">
      <c r="A27" s="755"/>
      <c r="B27" s="757"/>
      <c r="C27" s="757"/>
      <c r="D27" s="757"/>
      <c r="E27" s="757"/>
      <c r="F27" s="57" t="s">
        <v>317</v>
      </c>
      <c r="G27" s="57" t="s">
        <v>343</v>
      </c>
      <c r="H27" s="335" t="s">
        <v>473</v>
      </c>
    </row>
    <row r="28" spans="1:8" s="55" customFormat="1" ht="16.5" thickBot="1" x14ac:dyDescent="0.3">
      <c r="A28" s="58" t="s">
        <v>23</v>
      </c>
      <c r="B28" s="59"/>
      <c r="C28" s="59"/>
      <c r="D28" s="59"/>
      <c r="E28" s="59"/>
      <c r="F28" s="60">
        <f>SUM(F29+F222)</f>
        <v>543868.28249999997</v>
      </c>
      <c r="G28" s="61">
        <f>SUM(G29+G222)</f>
        <v>300886.59135199996</v>
      </c>
      <c r="H28" s="61">
        <f>SUM(H29+H222)</f>
        <v>315964.72843400005</v>
      </c>
    </row>
    <row r="29" spans="1:8" s="55" customFormat="1" ht="16.5" thickBot="1" x14ac:dyDescent="0.3">
      <c r="A29" s="722" t="s">
        <v>24</v>
      </c>
      <c r="B29" s="723"/>
      <c r="C29" s="723"/>
      <c r="D29" s="724"/>
      <c r="E29" s="725"/>
      <c r="F29" s="726">
        <f>F30+F57+F64+F101+F121+F151+F158+F174+F215+F181+F188+F201+F208</f>
        <v>444092.89579000004</v>
      </c>
      <c r="G29" s="726">
        <f>G30+G57+G64+G101+G121+G151+G158+G174+G215+G181+G188+G201+G208</f>
        <v>209427.13945999998</v>
      </c>
      <c r="H29" s="727">
        <f>H30+H57+H64+H101+H121+H151+H158+H174+H215+H181+H188+H201+H208</f>
        <v>222640.05946000002</v>
      </c>
    </row>
    <row r="30" spans="1:8" s="55" customFormat="1" ht="26.25" thickBot="1" x14ac:dyDescent="0.3">
      <c r="A30" s="66" t="s">
        <v>370</v>
      </c>
      <c r="B30" s="59" t="s">
        <v>25</v>
      </c>
      <c r="C30" s="59"/>
      <c r="D30" s="67"/>
      <c r="E30" s="67"/>
      <c r="F30" s="68">
        <f>F31+F47</f>
        <v>106501.72</v>
      </c>
      <c r="G30" s="68">
        <f t="shared" ref="G30:H30" si="0">G31+G47</f>
        <v>74019.06</v>
      </c>
      <c r="H30" s="69">
        <f t="shared" si="0"/>
        <v>74019.06</v>
      </c>
    </row>
    <row r="31" spans="1:8" s="55" customFormat="1" ht="15.75" x14ac:dyDescent="0.25">
      <c r="A31" s="213" t="s">
        <v>232</v>
      </c>
      <c r="B31" s="214" t="s">
        <v>279</v>
      </c>
      <c r="C31" s="214"/>
      <c r="D31" s="70"/>
      <c r="E31" s="70"/>
      <c r="F31" s="71">
        <f>F32</f>
        <v>74019.06</v>
      </c>
      <c r="G31" s="71">
        <f t="shared" ref="G31:H31" si="1">G32</f>
        <v>74019.06</v>
      </c>
      <c r="H31" s="72">
        <f t="shared" si="1"/>
        <v>74019.06</v>
      </c>
    </row>
    <row r="32" spans="1:8" s="55" customFormat="1" ht="15.75" x14ac:dyDescent="0.25">
      <c r="A32" s="89" t="s">
        <v>280</v>
      </c>
      <c r="B32" s="112" t="s">
        <v>281</v>
      </c>
      <c r="C32" s="112"/>
      <c r="D32" s="112"/>
      <c r="E32" s="112"/>
      <c r="F32" s="73">
        <f>F33+F43</f>
        <v>74019.06</v>
      </c>
      <c r="G32" s="73">
        <f t="shared" ref="G32:H32" si="2">G33+G43</f>
        <v>74019.06</v>
      </c>
      <c r="H32" s="74">
        <f t="shared" si="2"/>
        <v>74019.06</v>
      </c>
    </row>
    <row r="33" spans="1:8" s="55" customFormat="1" ht="15.75" x14ac:dyDescent="0.25">
      <c r="A33" s="75" t="s">
        <v>26</v>
      </c>
      <c r="B33" s="56" t="s">
        <v>282</v>
      </c>
      <c r="C33" s="56"/>
      <c r="D33" s="76"/>
      <c r="E33" s="76"/>
      <c r="F33" s="3">
        <f>F34+F37+F40</f>
        <v>73269.06</v>
      </c>
      <c r="G33" s="3">
        <f t="shared" ref="G33:H33" si="3">G34+G37+G40</f>
        <v>73269.06</v>
      </c>
      <c r="H33" s="77">
        <f t="shared" si="3"/>
        <v>73269.06</v>
      </c>
    </row>
    <row r="34" spans="1:8" s="55" customFormat="1" ht="25.5" x14ac:dyDescent="0.25">
      <c r="A34" s="75" t="s">
        <v>27</v>
      </c>
      <c r="B34" s="56" t="s">
        <v>282</v>
      </c>
      <c r="C34" s="56">
        <v>100</v>
      </c>
      <c r="D34" s="76"/>
      <c r="E34" s="76"/>
      <c r="F34" s="3">
        <f t="shared" ref="F34:H35" si="4">F35</f>
        <v>33997.06</v>
      </c>
      <c r="G34" s="3">
        <f t="shared" si="4"/>
        <v>33997.06</v>
      </c>
      <c r="H34" s="77">
        <f t="shared" si="4"/>
        <v>33997.06</v>
      </c>
    </row>
    <row r="35" spans="1:8" s="55" customFormat="1" ht="15.75" x14ac:dyDescent="0.25">
      <c r="A35" s="10" t="s">
        <v>133</v>
      </c>
      <c r="B35" s="56" t="s">
        <v>282</v>
      </c>
      <c r="C35" s="56">
        <v>110</v>
      </c>
      <c r="D35" s="76"/>
      <c r="E35" s="76"/>
      <c r="F35" s="3">
        <f t="shared" si="4"/>
        <v>33997.06</v>
      </c>
      <c r="G35" s="3">
        <f t="shared" si="4"/>
        <v>33997.06</v>
      </c>
      <c r="H35" s="77">
        <f t="shared" si="4"/>
        <v>33997.06</v>
      </c>
    </row>
    <row r="36" spans="1:8" s="55" customFormat="1" ht="15.75" x14ac:dyDescent="0.25">
      <c r="A36" s="338" t="s">
        <v>28</v>
      </c>
      <c r="B36" s="56" t="s">
        <v>282</v>
      </c>
      <c r="C36" s="56">
        <v>110</v>
      </c>
      <c r="D36" s="76" t="s">
        <v>29</v>
      </c>
      <c r="E36" s="76" t="s">
        <v>30</v>
      </c>
      <c r="F36" s="3">
        <f>пр.4!G300</f>
        <v>33997.06</v>
      </c>
      <c r="G36" s="3">
        <f>пр.4!H300</f>
        <v>33997.06</v>
      </c>
      <c r="H36" s="77">
        <f>пр.4!I300</f>
        <v>33997.06</v>
      </c>
    </row>
    <row r="37" spans="1:8" s="55" customFormat="1" ht="15.75" x14ac:dyDescent="0.25">
      <c r="A37" s="75" t="s">
        <v>31</v>
      </c>
      <c r="B37" s="56" t="s">
        <v>282</v>
      </c>
      <c r="C37" s="56">
        <v>200</v>
      </c>
      <c r="D37" s="76"/>
      <c r="E37" s="76"/>
      <c r="F37" s="3">
        <f t="shared" ref="F37:H38" si="5">F38</f>
        <v>39247</v>
      </c>
      <c r="G37" s="3">
        <f t="shared" si="5"/>
        <v>39247</v>
      </c>
      <c r="H37" s="77">
        <f t="shared" si="5"/>
        <v>39247</v>
      </c>
    </row>
    <row r="38" spans="1:8" s="55" customFormat="1" ht="15.75" x14ac:dyDescent="0.25">
      <c r="A38" s="10" t="s">
        <v>67</v>
      </c>
      <c r="B38" s="56" t="s">
        <v>282</v>
      </c>
      <c r="C38" s="56">
        <v>240</v>
      </c>
      <c r="D38" s="76"/>
      <c r="E38" s="76"/>
      <c r="F38" s="3">
        <f t="shared" si="5"/>
        <v>39247</v>
      </c>
      <c r="G38" s="3">
        <f t="shared" si="5"/>
        <v>39247</v>
      </c>
      <c r="H38" s="77">
        <f t="shared" si="5"/>
        <v>39247</v>
      </c>
    </row>
    <row r="39" spans="1:8" s="55" customFormat="1" ht="15.75" x14ac:dyDescent="0.25">
      <c r="A39" s="338" t="s">
        <v>28</v>
      </c>
      <c r="B39" s="56" t="s">
        <v>282</v>
      </c>
      <c r="C39" s="56">
        <v>240</v>
      </c>
      <c r="D39" s="76" t="s">
        <v>29</v>
      </c>
      <c r="E39" s="76" t="s">
        <v>30</v>
      </c>
      <c r="F39" s="3">
        <f>пр.4!G302</f>
        <v>39247</v>
      </c>
      <c r="G39" s="3">
        <f>пр.4!H302</f>
        <v>39247</v>
      </c>
      <c r="H39" s="77">
        <f>пр.4!I302</f>
        <v>39247</v>
      </c>
    </row>
    <row r="40" spans="1:8" s="55" customFormat="1" ht="15.75" x14ac:dyDescent="0.25">
      <c r="A40" s="75" t="s">
        <v>33</v>
      </c>
      <c r="B40" s="56" t="s">
        <v>282</v>
      </c>
      <c r="C40" s="56">
        <v>800</v>
      </c>
      <c r="D40" s="76"/>
      <c r="E40" s="76"/>
      <c r="F40" s="3">
        <f t="shared" ref="F40:H41" si="6">F41</f>
        <v>25</v>
      </c>
      <c r="G40" s="3">
        <f t="shared" si="6"/>
        <v>25</v>
      </c>
      <c r="H40" s="77">
        <f t="shared" si="6"/>
        <v>25</v>
      </c>
    </row>
    <row r="41" spans="1:8" s="55" customFormat="1" ht="15.75" x14ac:dyDescent="0.25">
      <c r="A41" s="10" t="s">
        <v>76</v>
      </c>
      <c r="B41" s="56" t="s">
        <v>282</v>
      </c>
      <c r="C41" s="56">
        <v>850</v>
      </c>
      <c r="D41" s="76"/>
      <c r="E41" s="76"/>
      <c r="F41" s="3">
        <f t="shared" si="6"/>
        <v>25</v>
      </c>
      <c r="G41" s="3">
        <f t="shared" si="6"/>
        <v>25</v>
      </c>
      <c r="H41" s="77">
        <f t="shared" si="6"/>
        <v>25</v>
      </c>
    </row>
    <row r="42" spans="1:8" s="55" customFormat="1" ht="15.75" x14ac:dyDescent="0.25">
      <c r="A42" s="338" t="s">
        <v>28</v>
      </c>
      <c r="B42" s="56" t="s">
        <v>282</v>
      </c>
      <c r="C42" s="56">
        <v>850</v>
      </c>
      <c r="D42" s="76" t="s">
        <v>29</v>
      </c>
      <c r="E42" s="76" t="s">
        <v>30</v>
      </c>
      <c r="F42" s="3">
        <f>пр.4!G304</f>
        <v>25</v>
      </c>
      <c r="G42" s="3">
        <f>пр.4!H304</f>
        <v>25</v>
      </c>
      <c r="H42" s="77">
        <f>пр.4!I304</f>
        <v>25</v>
      </c>
    </row>
    <row r="43" spans="1:8" s="55" customFormat="1" ht="15.75" x14ac:dyDescent="0.25">
      <c r="A43" s="82" t="s">
        <v>34</v>
      </c>
      <c r="B43" s="5" t="s">
        <v>283</v>
      </c>
      <c r="C43" s="78"/>
      <c r="D43" s="79"/>
      <c r="E43" s="79"/>
      <c r="F43" s="80">
        <f t="shared" ref="F43:H55" si="7">F44</f>
        <v>750</v>
      </c>
      <c r="G43" s="80">
        <f t="shared" si="7"/>
        <v>750</v>
      </c>
      <c r="H43" s="81">
        <f t="shared" si="7"/>
        <v>750</v>
      </c>
    </row>
    <row r="44" spans="1:8" s="55" customFormat="1" ht="15.75" x14ac:dyDescent="0.25">
      <c r="A44" s="75" t="s">
        <v>31</v>
      </c>
      <c r="B44" s="5" t="s">
        <v>283</v>
      </c>
      <c r="C44" s="78">
        <v>200</v>
      </c>
      <c r="D44" s="79"/>
      <c r="E44" s="79"/>
      <c r="F44" s="80">
        <f t="shared" si="7"/>
        <v>750</v>
      </c>
      <c r="G44" s="80">
        <f t="shared" si="7"/>
        <v>750</v>
      </c>
      <c r="H44" s="81">
        <f t="shared" si="7"/>
        <v>750</v>
      </c>
    </row>
    <row r="45" spans="1:8" s="55" customFormat="1" ht="15.75" x14ac:dyDescent="0.25">
      <c r="A45" s="10" t="s">
        <v>67</v>
      </c>
      <c r="B45" s="5" t="s">
        <v>283</v>
      </c>
      <c r="C45" s="78">
        <v>240</v>
      </c>
      <c r="D45" s="79"/>
      <c r="E45" s="79"/>
      <c r="F45" s="80">
        <f t="shared" si="7"/>
        <v>750</v>
      </c>
      <c r="G45" s="80">
        <f t="shared" si="7"/>
        <v>750</v>
      </c>
      <c r="H45" s="81">
        <f t="shared" si="7"/>
        <v>750</v>
      </c>
    </row>
    <row r="46" spans="1:8" s="55" customFormat="1" ht="15.75" x14ac:dyDescent="0.25">
      <c r="A46" s="339" t="s">
        <v>28</v>
      </c>
      <c r="B46" s="5" t="s">
        <v>283</v>
      </c>
      <c r="C46" s="78">
        <v>240</v>
      </c>
      <c r="D46" s="79" t="s">
        <v>29</v>
      </c>
      <c r="E46" s="79" t="s">
        <v>30</v>
      </c>
      <c r="F46" s="83">
        <f>пр.4!G307</f>
        <v>750</v>
      </c>
      <c r="G46" s="83">
        <f>пр.4!H307</f>
        <v>750</v>
      </c>
      <c r="H46" s="84">
        <f>пр.4!I307</f>
        <v>750</v>
      </c>
    </row>
    <row r="47" spans="1:8" s="55" customFormat="1" ht="15.75" x14ac:dyDescent="0.25">
      <c r="A47" s="213" t="s">
        <v>525</v>
      </c>
      <c r="B47" s="214" t="s">
        <v>327</v>
      </c>
      <c r="C47" s="214"/>
      <c r="D47" s="70"/>
      <c r="E47" s="70"/>
      <c r="F47" s="71">
        <f t="shared" ref="F47:H47" si="8">F48</f>
        <v>32482.66</v>
      </c>
      <c r="G47" s="71">
        <f t="shared" si="8"/>
        <v>0</v>
      </c>
      <c r="H47" s="72">
        <f t="shared" si="8"/>
        <v>0</v>
      </c>
    </row>
    <row r="48" spans="1:8" s="55" customFormat="1" ht="15.75" x14ac:dyDescent="0.25">
      <c r="A48" s="89" t="s">
        <v>526</v>
      </c>
      <c r="B48" s="112" t="s">
        <v>328</v>
      </c>
      <c r="C48" s="112"/>
      <c r="D48" s="112"/>
      <c r="E48" s="112"/>
      <c r="F48" s="73">
        <f>F53+F49</f>
        <v>32482.66</v>
      </c>
      <c r="G48" s="73">
        <f t="shared" ref="G48:H48" si="9">G53</f>
        <v>0</v>
      </c>
      <c r="H48" s="74">
        <f t="shared" si="9"/>
        <v>0</v>
      </c>
    </row>
    <row r="49" spans="1:8" s="55" customFormat="1" ht="25.5" customHeight="1" x14ac:dyDescent="0.25">
      <c r="A49" s="729" t="s">
        <v>543</v>
      </c>
      <c r="B49" s="5" t="s">
        <v>542</v>
      </c>
      <c r="C49" s="78"/>
      <c r="D49" s="79"/>
      <c r="E49" s="79"/>
      <c r="F49" s="80">
        <f t="shared" ref="F49:H51" si="10">F50</f>
        <v>463.89999</v>
      </c>
      <c r="G49" s="80">
        <f t="shared" si="10"/>
        <v>0</v>
      </c>
      <c r="H49" s="81">
        <f t="shared" si="10"/>
        <v>0</v>
      </c>
    </row>
    <row r="50" spans="1:8" s="55" customFormat="1" ht="15.75" x14ac:dyDescent="0.25">
      <c r="A50" s="75" t="s">
        <v>31</v>
      </c>
      <c r="B50" s="5" t="s">
        <v>542</v>
      </c>
      <c r="C50" s="78">
        <v>200</v>
      </c>
      <c r="D50" s="79"/>
      <c r="E50" s="79"/>
      <c r="F50" s="80">
        <f t="shared" si="10"/>
        <v>463.89999</v>
      </c>
      <c r="G50" s="80">
        <f t="shared" si="10"/>
        <v>0</v>
      </c>
      <c r="H50" s="81">
        <f t="shared" si="10"/>
        <v>0</v>
      </c>
    </row>
    <row r="51" spans="1:8" s="55" customFormat="1" ht="15.75" x14ac:dyDescent="0.25">
      <c r="A51" s="10" t="s">
        <v>67</v>
      </c>
      <c r="B51" s="5" t="s">
        <v>542</v>
      </c>
      <c r="C51" s="78">
        <v>240</v>
      </c>
      <c r="D51" s="79"/>
      <c r="E51" s="79"/>
      <c r="F51" s="80">
        <f t="shared" si="10"/>
        <v>463.89999</v>
      </c>
      <c r="G51" s="80">
        <f t="shared" si="10"/>
        <v>0</v>
      </c>
      <c r="H51" s="81">
        <f t="shared" si="10"/>
        <v>0</v>
      </c>
    </row>
    <row r="52" spans="1:8" s="55" customFormat="1" ht="15.75" x14ac:dyDescent="0.25">
      <c r="A52" s="728" t="s">
        <v>524</v>
      </c>
      <c r="B52" s="5" t="s">
        <v>542</v>
      </c>
      <c r="C52" s="78">
        <v>240</v>
      </c>
      <c r="D52" s="79" t="s">
        <v>29</v>
      </c>
      <c r="E52" s="79" t="s">
        <v>58</v>
      </c>
      <c r="F52" s="83">
        <f>пр.4!G312</f>
        <v>463.89999</v>
      </c>
      <c r="G52" s="83">
        <f>пр.4!H312</f>
        <v>0</v>
      </c>
      <c r="H52" s="84">
        <f>пр.4!I312</f>
        <v>0</v>
      </c>
    </row>
    <row r="53" spans="1:8" s="55" customFormat="1" ht="25.5" x14ac:dyDescent="0.25">
      <c r="A53" s="729" t="str">
        <f>пр.4!A315</f>
        <v xml:space="preserve">Осуществление капитального ремонта объектов спортивной инфраструктуры государственной собственности субъектов Российской Федерации (муниципальной собственности) </v>
      </c>
      <c r="B53" s="5" t="s">
        <v>528</v>
      </c>
      <c r="C53" s="78"/>
      <c r="D53" s="79"/>
      <c r="E53" s="79"/>
      <c r="F53" s="80">
        <f t="shared" si="7"/>
        <v>32018.760009999998</v>
      </c>
      <c r="G53" s="80">
        <f t="shared" si="7"/>
        <v>0</v>
      </c>
      <c r="H53" s="81">
        <f t="shared" si="7"/>
        <v>0</v>
      </c>
    </row>
    <row r="54" spans="1:8" s="55" customFormat="1" ht="15.75" x14ac:dyDescent="0.25">
      <c r="A54" s="75" t="s">
        <v>31</v>
      </c>
      <c r="B54" s="5" t="s">
        <v>528</v>
      </c>
      <c r="C54" s="78">
        <v>200</v>
      </c>
      <c r="D54" s="79"/>
      <c r="E54" s="79"/>
      <c r="F54" s="80">
        <f t="shared" si="7"/>
        <v>32018.760009999998</v>
      </c>
      <c r="G54" s="80">
        <f t="shared" si="7"/>
        <v>0</v>
      </c>
      <c r="H54" s="81">
        <f t="shared" si="7"/>
        <v>0</v>
      </c>
    </row>
    <row r="55" spans="1:8" s="55" customFormat="1" ht="15.75" x14ac:dyDescent="0.25">
      <c r="A55" s="10" t="s">
        <v>67</v>
      </c>
      <c r="B55" s="5" t="s">
        <v>528</v>
      </c>
      <c r="C55" s="78">
        <v>240</v>
      </c>
      <c r="D55" s="79"/>
      <c r="E55" s="79"/>
      <c r="F55" s="80">
        <f t="shared" si="7"/>
        <v>32018.760009999998</v>
      </c>
      <c r="G55" s="80">
        <f t="shared" si="7"/>
        <v>0</v>
      </c>
      <c r="H55" s="81">
        <f t="shared" si="7"/>
        <v>0</v>
      </c>
    </row>
    <row r="56" spans="1:8" s="55" customFormat="1" ht="16.5" thickBot="1" x14ac:dyDescent="0.3">
      <c r="A56" s="728" t="str">
        <f>пр.4!A308</f>
        <v xml:space="preserve">Массовый спорт </v>
      </c>
      <c r="B56" s="5" t="s">
        <v>528</v>
      </c>
      <c r="C56" s="78">
        <v>240</v>
      </c>
      <c r="D56" s="79" t="s">
        <v>29</v>
      </c>
      <c r="E56" s="79" t="s">
        <v>58</v>
      </c>
      <c r="F56" s="83">
        <f>пр.4!G317</f>
        <v>32018.760009999998</v>
      </c>
      <c r="G56" s="83">
        <f>пр.4!H311</f>
        <v>0</v>
      </c>
      <c r="H56" s="84">
        <f>пр.4!I311</f>
        <v>0</v>
      </c>
    </row>
    <row r="57" spans="1:8" s="55" customFormat="1" ht="42" customHeight="1" thickBot="1" x14ac:dyDescent="0.3">
      <c r="A57" s="95" t="s">
        <v>371</v>
      </c>
      <c r="B57" s="96" t="s">
        <v>38</v>
      </c>
      <c r="C57" s="96"/>
      <c r="D57" s="97"/>
      <c r="E57" s="97"/>
      <c r="F57" s="68">
        <f>F58</f>
        <v>2383.92</v>
      </c>
      <c r="G57" s="68">
        <f>G58</f>
        <v>1330.9490000000001</v>
      </c>
      <c r="H57" s="69">
        <f>H58</f>
        <v>0</v>
      </c>
    </row>
    <row r="58" spans="1:8" s="55" customFormat="1" ht="15.75" x14ac:dyDescent="0.25">
      <c r="A58" s="185" t="s">
        <v>410</v>
      </c>
      <c r="B58" s="186" t="s">
        <v>338</v>
      </c>
      <c r="C58" s="309"/>
      <c r="D58" s="310"/>
      <c r="E58" s="310"/>
      <c r="F58" s="110">
        <f t="shared" ref="F58:H59" si="11">F59</f>
        <v>2383.92</v>
      </c>
      <c r="G58" s="110">
        <f t="shared" si="11"/>
        <v>1330.9490000000001</v>
      </c>
      <c r="H58" s="111">
        <f t="shared" si="11"/>
        <v>0</v>
      </c>
    </row>
    <row r="59" spans="1:8" s="55" customFormat="1" ht="15.75" x14ac:dyDescent="0.25">
      <c r="A59" s="89" t="s">
        <v>339</v>
      </c>
      <c r="B59" s="112" t="s">
        <v>342</v>
      </c>
      <c r="C59" s="103"/>
      <c r="D59" s="103"/>
      <c r="E59" s="103"/>
      <c r="F59" s="73">
        <f t="shared" si="11"/>
        <v>2383.92</v>
      </c>
      <c r="G59" s="73">
        <f t="shared" si="11"/>
        <v>1330.9490000000001</v>
      </c>
      <c r="H59" s="74">
        <f t="shared" si="11"/>
        <v>0</v>
      </c>
    </row>
    <row r="60" spans="1:8" s="55" customFormat="1" ht="15.75" x14ac:dyDescent="0.25">
      <c r="A60" s="9" t="s">
        <v>340</v>
      </c>
      <c r="B60" s="5" t="s">
        <v>341</v>
      </c>
      <c r="C60" s="4"/>
      <c r="D60" s="4"/>
      <c r="E60" s="1"/>
      <c r="F60" s="3">
        <f>F63</f>
        <v>2383.92</v>
      </c>
      <c r="G60" s="3">
        <f>G63</f>
        <v>1330.9490000000001</v>
      </c>
      <c r="H60" s="77">
        <f>H63</f>
        <v>0</v>
      </c>
    </row>
    <row r="61" spans="1:8" s="55" customFormat="1" ht="15.75" x14ac:dyDescent="0.25">
      <c r="A61" s="340" t="s">
        <v>39</v>
      </c>
      <c r="B61" s="5" t="s">
        <v>341</v>
      </c>
      <c r="C61" s="4">
        <v>300</v>
      </c>
      <c r="D61" s="4"/>
      <c r="E61" s="4"/>
      <c r="F61" s="3">
        <f t="shared" ref="F61:H62" si="12">F62</f>
        <v>2383.92</v>
      </c>
      <c r="G61" s="3">
        <f t="shared" si="12"/>
        <v>1330.9490000000001</v>
      </c>
      <c r="H61" s="77">
        <f t="shared" si="12"/>
        <v>0</v>
      </c>
    </row>
    <row r="62" spans="1:8" s="55" customFormat="1" ht="15.75" x14ac:dyDescent="0.25">
      <c r="A62" s="99" t="s">
        <v>135</v>
      </c>
      <c r="B62" s="5" t="s">
        <v>341</v>
      </c>
      <c r="C62" s="4">
        <v>320</v>
      </c>
      <c r="D62" s="4"/>
      <c r="E62" s="4"/>
      <c r="F62" s="3">
        <f t="shared" si="12"/>
        <v>2383.92</v>
      </c>
      <c r="G62" s="3">
        <f t="shared" si="12"/>
        <v>1330.9490000000001</v>
      </c>
      <c r="H62" s="77">
        <f t="shared" si="12"/>
        <v>0</v>
      </c>
    </row>
    <row r="63" spans="1:8" s="55" customFormat="1" ht="16.5" thickBot="1" x14ac:dyDescent="0.3">
      <c r="A63" s="342" t="s">
        <v>214</v>
      </c>
      <c r="B63" s="105" t="s">
        <v>341</v>
      </c>
      <c r="C63" s="106">
        <v>320</v>
      </c>
      <c r="D63" s="107" t="s">
        <v>118</v>
      </c>
      <c r="E63" s="107" t="s">
        <v>36</v>
      </c>
      <c r="F63" s="93">
        <f>пр.4!G292</f>
        <v>2383.92</v>
      </c>
      <c r="G63" s="93">
        <f>пр.4!H292</f>
        <v>1330.9490000000001</v>
      </c>
      <c r="H63" s="94">
        <f>пр.4!I292</f>
        <v>0</v>
      </c>
    </row>
    <row r="64" spans="1:8" s="55" customFormat="1" ht="26.25" thickBot="1" x14ac:dyDescent="0.3">
      <c r="A64" s="66" t="s">
        <v>372</v>
      </c>
      <c r="B64" s="59" t="s">
        <v>41</v>
      </c>
      <c r="C64" s="59"/>
      <c r="D64" s="67"/>
      <c r="E64" s="67"/>
      <c r="F64" s="68">
        <f>F65+F95</f>
        <v>71959.808160000015</v>
      </c>
      <c r="G64" s="68">
        <f t="shared" ref="G64" si="13">G65+G95</f>
        <v>61226.976860000002</v>
      </c>
      <c r="H64" s="69">
        <f>H65+H95</f>
        <v>76238.654859999995</v>
      </c>
    </row>
    <row r="65" spans="1:8" s="55" customFormat="1" ht="15.75" x14ac:dyDescent="0.25">
      <c r="A65" s="185" t="s">
        <v>232</v>
      </c>
      <c r="B65" s="186" t="s">
        <v>233</v>
      </c>
      <c r="C65" s="108"/>
      <c r="D65" s="311"/>
      <c r="E65" s="311"/>
      <c r="F65" s="110">
        <f>F66+F71+F76</f>
        <v>71959.808160000015</v>
      </c>
      <c r="G65" s="110">
        <f t="shared" ref="G65" si="14">G66+G71+G76</f>
        <v>61226.976860000002</v>
      </c>
      <c r="H65" s="111">
        <f>H66+H71+H76</f>
        <v>60998.054859999997</v>
      </c>
    </row>
    <row r="66" spans="1:8" s="55" customFormat="1" ht="25.5" x14ac:dyDescent="0.25">
      <c r="A66" s="89" t="s">
        <v>234</v>
      </c>
      <c r="B66" s="112" t="s">
        <v>235</v>
      </c>
      <c r="C66" s="87"/>
      <c r="D66" s="88"/>
      <c r="E66" s="88"/>
      <c r="F66" s="73">
        <f>F70</f>
        <v>1100</v>
      </c>
      <c r="G66" s="73">
        <f>G67</f>
        <v>1100</v>
      </c>
      <c r="H66" s="74">
        <f>H67</f>
        <v>1100</v>
      </c>
    </row>
    <row r="67" spans="1:8" s="55" customFormat="1" ht="15.75" x14ac:dyDescent="0.25">
      <c r="A67" s="9" t="s">
        <v>42</v>
      </c>
      <c r="B67" s="5" t="s">
        <v>236</v>
      </c>
      <c r="C67" s="56"/>
      <c r="D67" s="76"/>
      <c r="E67" s="76"/>
      <c r="F67" s="3">
        <f t="shared" ref="F67:H69" si="15">F68</f>
        <v>1100</v>
      </c>
      <c r="G67" s="3">
        <f t="shared" si="15"/>
        <v>1100</v>
      </c>
      <c r="H67" s="77">
        <f t="shared" si="15"/>
        <v>1100</v>
      </c>
    </row>
    <row r="68" spans="1:8" s="55" customFormat="1" ht="15.75" x14ac:dyDescent="0.25">
      <c r="A68" s="9" t="s">
        <v>31</v>
      </c>
      <c r="B68" s="5" t="s">
        <v>236</v>
      </c>
      <c r="C68" s="56">
        <v>200</v>
      </c>
      <c r="D68" s="76"/>
      <c r="E68" s="76"/>
      <c r="F68" s="3">
        <f t="shared" si="15"/>
        <v>1100</v>
      </c>
      <c r="G68" s="3">
        <f t="shared" si="15"/>
        <v>1100</v>
      </c>
      <c r="H68" s="77">
        <f t="shared" si="15"/>
        <v>1100</v>
      </c>
    </row>
    <row r="69" spans="1:8" s="55" customFormat="1" ht="15.75" x14ac:dyDescent="0.25">
      <c r="A69" s="10" t="s">
        <v>67</v>
      </c>
      <c r="B69" s="5" t="s">
        <v>236</v>
      </c>
      <c r="C69" s="56">
        <v>240</v>
      </c>
      <c r="D69" s="76"/>
      <c r="E69" s="76"/>
      <c r="F69" s="3">
        <f t="shared" si="15"/>
        <v>1100</v>
      </c>
      <c r="G69" s="3">
        <f t="shared" si="15"/>
        <v>1100</v>
      </c>
      <c r="H69" s="77">
        <f t="shared" si="15"/>
        <v>1100</v>
      </c>
    </row>
    <row r="70" spans="1:8" s="55" customFormat="1" ht="15.75" x14ac:dyDescent="0.25">
      <c r="A70" s="338" t="s">
        <v>296</v>
      </c>
      <c r="B70" s="5" t="s">
        <v>236</v>
      </c>
      <c r="C70" s="56">
        <v>240</v>
      </c>
      <c r="D70" s="76" t="s">
        <v>43</v>
      </c>
      <c r="E70" s="76" t="s">
        <v>49</v>
      </c>
      <c r="F70" s="3">
        <f>пр.4!G254</f>
        <v>1100</v>
      </c>
      <c r="G70" s="3">
        <f>пр.4!H254</f>
        <v>1100</v>
      </c>
      <c r="H70" s="77">
        <f>пр.4!I254</f>
        <v>1100</v>
      </c>
    </row>
    <row r="71" spans="1:8" s="55" customFormat="1" ht="15.75" x14ac:dyDescent="0.25">
      <c r="A71" s="89" t="s">
        <v>237</v>
      </c>
      <c r="B71" s="112" t="s">
        <v>238</v>
      </c>
      <c r="C71" s="87"/>
      <c r="D71" s="88"/>
      <c r="E71" s="88"/>
      <c r="F71" s="73">
        <f>SUM(F74)</f>
        <v>763.1</v>
      </c>
      <c r="G71" s="73">
        <f>SUM(G74)</f>
        <v>563.1</v>
      </c>
      <c r="H71" s="74">
        <f>SUM(H74)</f>
        <v>563.1</v>
      </c>
    </row>
    <row r="72" spans="1:8" s="55" customFormat="1" ht="15.75" x14ac:dyDescent="0.25">
      <c r="A72" s="9" t="s">
        <v>44</v>
      </c>
      <c r="B72" s="5" t="s">
        <v>239</v>
      </c>
      <c r="C72" s="56"/>
      <c r="D72" s="76"/>
      <c r="E72" s="76"/>
      <c r="F72" s="3">
        <f>F75</f>
        <v>763.1</v>
      </c>
      <c r="G72" s="3">
        <f>G75</f>
        <v>563.1</v>
      </c>
      <c r="H72" s="77">
        <f>H75</f>
        <v>563.1</v>
      </c>
    </row>
    <row r="73" spans="1:8" s="55" customFormat="1" ht="15.75" x14ac:dyDescent="0.25">
      <c r="A73" s="9" t="s">
        <v>31</v>
      </c>
      <c r="B73" s="5" t="s">
        <v>239</v>
      </c>
      <c r="C73" s="56">
        <v>200</v>
      </c>
      <c r="D73" s="76"/>
      <c r="E73" s="76"/>
      <c r="F73" s="3">
        <f t="shared" ref="F73:H74" si="16">F74</f>
        <v>763.1</v>
      </c>
      <c r="G73" s="3">
        <f t="shared" si="16"/>
        <v>563.1</v>
      </c>
      <c r="H73" s="77">
        <f t="shared" si="16"/>
        <v>563.1</v>
      </c>
    </row>
    <row r="74" spans="1:8" s="55" customFormat="1" ht="15.75" x14ac:dyDescent="0.25">
      <c r="A74" s="10" t="s">
        <v>67</v>
      </c>
      <c r="B74" s="5" t="s">
        <v>239</v>
      </c>
      <c r="C74" s="56">
        <v>240</v>
      </c>
      <c r="D74" s="76"/>
      <c r="E74" s="76"/>
      <c r="F74" s="3">
        <f t="shared" si="16"/>
        <v>763.1</v>
      </c>
      <c r="G74" s="3">
        <f t="shared" si="16"/>
        <v>563.1</v>
      </c>
      <c r="H74" s="77">
        <f t="shared" si="16"/>
        <v>563.1</v>
      </c>
    </row>
    <row r="75" spans="1:8" s="55" customFormat="1" ht="15.75" x14ac:dyDescent="0.25">
      <c r="A75" s="338" t="s">
        <v>150</v>
      </c>
      <c r="B75" s="5" t="s">
        <v>239</v>
      </c>
      <c r="C75" s="56">
        <v>240</v>
      </c>
      <c r="D75" s="76" t="s">
        <v>43</v>
      </c>
      <c r="E75" s="76" t="s">
        <v>43</v>
      </c>
      <c r="F75" s="3">
        <f>пр.4!G247</f>
        <v>763.1</v>
      </c>
      <c r="G75" s="3">
        <f>пр.4!H247</f>
        <v>563.1</v>
      </c>
      <c r="H75" s="77">
        <f>пр.4!I247</f>
        <v>563.1</v>
      </c>
    </row>
    <row r="76" spans="1:8" s="55" customFormat="1" ht="15.75" x14ac:dyDescent="0.25">
      <c r="A76" s="89" t="s">
        <v>240</v>
      </c>
      <c r="B76" s="112" t="s">
        <v>241</v>
      </c>
      <c r="C76" s="56"/>
      <c r="D76" s="76"/>
      <c r="E76" s="76"/>
      <c r="F76" s="3">
        <f>F77+F91+F87</f>
        <v>70096.708160000009</v>
      </c>
      <c r="G76" s="3">
        <f>G77+G91+G87</f>
        <v>59563.876860000004</v>
      </c>
      <c r="H76" s="77">
        <f>H77+H91+H87</f>
        <v>59334.954859999998</v>
      </c>
    </row>
    <row r="77" spans="1:8" s="55" customFormat="1" ht="15.75" x14ac:dyDescent="0.25">
      <c r="A77" s="9" t="s">
        <v>335</v>
      </c>
      <c r="B77" s="56" t="s">
        <v>242</v>
      </c>
      <c r="C77" s="56"/>
      <c r="D77" s="76"/>
      <c r="E77" s="76"/>
      <c r="F77" s="3">
        <f>F78+F81+F84</f>
        <v>51062.708160000009</v>
      </c>
      <c r="G77" s="3">
        <f>G78+G81+G84</f>
        <v>41544.876860000004</v>
      </c>
      <c r="H77" s="77">
        <f>H78+H81+H84</f>
        <v>41315.954859999998</v>
      </c>
    </row>
    <row r="78" spans="1:8" s="55" customFormat="1" ht="25.5" x14ac:dyDescent="0.25">
      <c r="A78" s="75" t="s">
        <v>27</v>
      </c>
      <c r="B78" s="56" t="s">
        <v>242</v>
      </c>
      <c r="C78" s="56">
        <v>100</v>
      </c>
      <c r="D78" s="76"/>
      <c r="E78" s="76"/>
      <c r="F78" s="3">
        <f t="shared" ref="F78:H79" si="17">F79</f>
        <v>33933.431000000004</v>
      </c>
      <c r="G78" s="3">
        <f t="shared" si="17"/>
        <v>31536.808000000001</v>
      </c>
      <c r="H78" s="77">
        <f t="shared" si="17"/>
        <v>31536.808000000001</v>
      </c>
    </row>
    <row r="79" spans="1:8" s="55" customFormat="1" ht="15.75" x14ac:dyDescent="0.25">
      <c r="A79" s="10" t="s">
        <v>133</v>
      </c>
      <c r="B79" s="5" t="s">
        <v>242</v>
      </c>
      <c r="C79" s="56">
        <v>110</v>
      </c>
      <c r="D79" s="76"/>
      <c r="E79" s="76"/>
      <c r="F79" s="3">
        <f t="shared" si="17"/>
        <v>33933.431000000004</v>
      </c>
      <c r="G79" s="3">
        <f t="shared" si="17"/>
        <v>31536.808000000001</v>
      </c>
      <c r="H79" s="77">
        <f t="shared" si="17"/>
        <v>31536.808000000001</v>
      </c>
    </row>
    <row r="80" spans="1:8" s="55" customFormat="1" ht="15.75" x14ac:dyDescent="0.25">
      <c r="A80" s="338" t="s">
        <v>45</v>
      </c>
      <c r="B80" s="5" t="s">
        <v>242</v>
      </c>
      <c r="C80" s="56">
        <v>110</v>
      </c>
      <c r="D80" s="76" t="s">
        <v>46</v>
      </c>
      <c r="E80" s="76" t="s">
        <v>30</v>
      </c>
      <c r="F80" s="3">
        <f>пр.4!G262</f>
        <v>33933.431000000004</v>
      </c>
      <c r="G80" s="3">
        <f>пр.4!H262</f>
        <v>31536.808000000001</v>
      </c>
      <c r="H80" s="77">
        <f>пр.4!I262</f>
        <v>31536.808000000001</v>
      </c>
    </row>
    <row r="81" spans="1:8" s="55" customFormat="1" ht="15.75" x14ac:dyDescent="0.25">
      <c r="A81" s="75" t="s">
        <v>31</v>
      </c>
      <c r="B81" s="5" t="s">
        <v>242</v>
      </c>
      <c r="C81" s="56">
        <v>200</v>
      </c>
      <c r="D81" s="76"/>
      <c r="E81" s="76"/>
      <c r="F81" s="3">
        <f t="shared" ref="F81:H82" si="18">F82</f>
        <v>17075.277160000001</v>
      </c>
      <c r="G81" s="3">
        <f t="shared" si="18"/>
        <v>9964.0688600000012</v>
      </c>
      <c r="H81" s="77">
        <f t="shared" si="18"/>
        <v>9735.1468599999989</v>
      </c>
    </row>
    <row r="82" spans="1:8" s="55" customFormat="1" ht="15.75" x14ac:dyDescent="0.25">
      <c r="A82" s="10" t="s">
        <v>67</v>
      </c>
      <c r="B82" s="5" t="s">
        <v>242</v>
      </c>
      <c r="C82" s="56">
        <v>240</v>
      </c>
      <c r="D82" s="76"/>
      <c r="E82" s="76"/>
      <c r="F82" s="3">
        <f t="shared" si="18"/>
        <v>17075.277160000001</v>
      </c>
      <c r="G82" s="3">
        <f t="shared" si="18"/>
        <v>9964.0688600000012</v>
      </c>
      <c r="H82" s="77">
        <f t="shared" si="18"/>
        <v>9735.1468599999989</v>
      </c>
    </row>
    <row r="83" spans="1:8" s="55" customFormat="1" ht="15.75" x14ac:dyDescent="0.25">
      <c r="A83" s="338" t="s">
        <v>45</v>
      </c>
      <c r="B83" s="5" t="s">
        <v>242</v>
      </c>
      <c r="C83" s="56">
        <v>240</v>
      </c>
      <c r="D83" s="76" t="s">
        <v>46</v>
      </c>
      <c r="E83" s="76" t="s">
        <v>30</v>
      </c>
      <c r="F83" s="3">
        <f>пр.4!G264</f>
        <v>17075.277160000001</v>
      </c>
      <c r="G83" s="3">
        <f>пр.4!H264</f>
        <v>9964.0688600000012</v>
      </c>
      <c r="H83" s="77">
        <f>пр.4!I264</f>
        <v>9735.1468599999989</v>
      </c>
    </row>
    <row r="84" spans="1:8" s="55" customFormat="1" ht="15.75" x14ac:dyDescent="0.25">
      <c r="A84" s="75" t="s">
        <v>33</v>
      </c>
      <c r="B84" s="5" t="s">
        <v>242</v>
      </c>
      <c r="C84" s="56">
        <v>800</v>
      </c>
      <c r="D84" s="76"/>
      <c r="E84" s="76"/>
      <c r="F84" s="3">
        <f t="shared" ref="F84:H85" si="19">F85</f>
        <v>54</v>
      </c>
      <c r="G84" s="3">
        <f t="shared" si="19"/>
        <v>44</v>
      </c>
      <c r="H84" s="77">
        <f t="shared" si="19"/>
        <v>44</v>
      </c>
    </row>
    <row r="85" spans="1:8" s="55" customFormat="1" ht="15.75" x14ac:dyDescent="0.25">
      <c r="A85" s="10" t="s">
        <v>76</v>
      </c>
      <c r="B85" s="5" t="s">
        <v>242</v>
      </c>
      <c r="C85" s="56">
        <v>850</v>
      </c>
      <c r="D85" s="76"/>
      <c r="E85" s="76"/>
      <c r="F85" s="3">
        <f t="shared" si="19"/>
        <v>54</v>
      </c>
      <c r="G85" s="3">
        <f t="shared" si="19"/>
        <v>44</v>
      </c>
      <c r="H85" s="77">
        <f t="shared" si="19"/>
        <v>44</v>
      </c>
    </row>
    <row r="86" spans="1:8" s="55" customFormat="1" ht="15.75" x14ac:dyDescent="0.25">
      <c r="A86" s="338" t="s">
        <v>45</v>
      </c>
      <c r="B86" s="5" t="s">
        <v>242</v>
      </c>
      <c r="C86" s="56">
        <v>850</v>
      </c>
      <c r="D86" s="76" t="s">
        <v>46</v>
      </c>
      <c r="E86" s="76" t="s">
        <v>30</v>
      </c>
      <c r="F86" s="3">
        <f>пр.4!G266</f>
        <v>54</v>
      </c>
      <c r="G86" s="3">
        <f>пр.4!H266</f>
        <v>44</v>
      </c>
      <c r="H86" s="77">
        <f>пр.4!I266</f>
        <v>44</v>
      </c>
    </row>
    <row r="87" spans="1:8" s="55" customFormat="1" ht="15.75" x14ac:dyDescent="0.25">
      <c r="A87" s="75" t="s">
        <v>47</v>
      </c>
      <c r="B87" s="5" t="s">
        <v>244</v>
      </c>
      <c r="C87" s="87"/>
      <c r="D87" s="88"/>
      <c r="E87" s="88"/>
      <c r="F87" s="3">
        <f t="shared" ref="F87:H89" si="20">F88</f>
        <v>6088.2000000000007</v>
      </c>
      <c r="G87" s="3">
        <f t="shared" si="20"/>
        <v>5073.2000000000007</v>
      </c>
      <c r="H87" s="77">
        <f t="shared" si="20"/>
        <v>5073.2000000000007</v>
      </c>
    </row>
    <row r="88" spans="1:8" s="55" customFormat="1" ht="15.75" x14ac:dyDescent="0.25">
      <c r="A88" s="75" t="s">
        <v>31</v>
      </c>
      <c r="B88" s="5" t="s">
        <v>244</v>
      </c>
      <c r="C88" s="56">
        <v>200</v>
      </c>
      <c r="D88" s="88"/>
      <c r="E88" s="88"/>
      <c r="F88" s="3">
        <f t="shared" si="20"/>
        <v>6088.2000000000007</v>
      </c>
      <c r="G88" s="3">
        <f t="shared" si="20"/>
        <v>5073.2000000000007</v>
      </c>
      <c r="H88" s="77">
        <f t="shared" si="20"/>
        <v>5073.2000000000007</v>
      </c>
    </row>
    <row r="89" spans="1:8" s="55" customFormat="1" ht="15.75" x14ac:dyDescent="0.25">
      <c r="A89" s="10" t="s">
        <v>67</v>
      </c>
      <c r="B89" s="5" t="s">
        <v>244</v>
      </c>
      <c r="C89" s="56">
        <v>240</v>
      </c>
      <c r="D89" s="76"/>
      <c r="E89" s="76"/>
      <c r="F89" s="3">
        <f t="shared" si="20"/>
        <v>6088.2000000000007</v>
      </c>
      <c r="G89" s="3">
        <f t="shared" si="20"/>
        <v>5073.2000000000007</v>
      </c>
      <c r="H89" s="77">
        <f t="shared" si="20"/>
        <v>5073.2000000000007</v>
      </c>
    </row>
    <row r="90" spans="1:8" s="55" customFormat="1" ht="15.75" x14ac:dyDescent="0.25">
      <c r="A90" s="338" t="s">
        <v>45</v>
      </c>
      <c r="B90" s="5" t="s">
        <v>244</v>
      </c>
      <c r="C90" s="56">
        <v>240</v>
      </c>
      <c r="D90" s="76" t="s">
        <v>46</v>
      </c>
      <c r="E90" s="76" t="s">
        <v>30</v>
      </c>
      <c r="F90" s="3">
        <f>пр.4!G269</f>
        <v>6088.2000000000007</v>
      </c>
      <c r="G90" s="3">
        <f>пр.4!H269</f>
        <v>5073.2000000000007</v>
      </c>
      <c r="H90" s="77">
        <f>пр.4!I269</f>
        <v>5073.2000000000007</v>
      </c>
    </row>
    <row r="91" spans="1:8" s="55" customFormat="1" ht="38.25" x14ac:dyDescent="0.25">
      <c r="A91" s="75" t="s">
        <v>430</v>
      </c>
      <c r="B91" s="5" t="s">
        <v>243</v>
      </c>
      <c r="C91" s="56"/>
      <c r="D91" s="76"/>
      <c r="E91" s="76"/>
      <c r="F91" s="3">
        <f t="shared" ref="F91:H93" si="21">F92</f>
        <v>12945.800000000001</v>
      </c>
      <c r="G91" s="3">
        <f t="shared" si="21"/>
        <v>12945.800000000001</v>
      </c>
      <c r="H91" s="77">
        <f t="shared" si="21"/>
        <v>12945.800000000001</v>
      </c>
    </row>
    <row r="92" spans="1:8" s="55" customFormat="1" ht="25.5" x14ac:dyDescent="0.25">
      <c r="A92" s="75" t="s">
        <v>27</v>
      </c>
      <c r="B92" s="5" t="s">
        <v>243</v>
      </c>
      <c r="C92" s="56">
        <v>100</v>
      </c>
      <c r="D92" s="76"/>
      <c r="E92" s="76"/>
      <c r="F92" s="3">
        <f t="shared" si="21"/>
        <v>12945.800000000001</v>
      </c>
      <c r="G92" s="3">
        <f t="shared" si="21"/>
        <v>12945.800000000001</v>
      </c>
      <c r="H92" s="77">
        <f t="shared" si="21"/>
        <v>12945.800000000001</v>
      </c>
    </row>
    <row r="93" spans="1:8" s="55" customFormat="1" ht="15.75" x14ac:dyDescent="0.25">
      <c r="A93" s="10" t="s">
        <v>133</v>
      </c>
      <c r="B93" s="5" t="s">
        <v>243</v>
      </c>
      <c r="C93" s="56">
        <v>110</v>
      </c>
      <c r="D93" s="76"/>
      <c r="E93" s="76"/>
      <c r="F93" s="3">
        <f t="shared" si="21"/>
        <v>12945.800000000001</v>
      </c>
      <c r="G93" s="3">
        <f t="shared" si="21"/>
        <v>12945.800000000001</v>
      </c>
      <c r="H93" s="77">
        <f t="shared" si="21"/>
        <v>12945.800000000001</v>
      </c>
    </row>
    <row r="94" spans="1:8" s="55" customFormat="1" ht="16.5" thickBot="1" x14ac:dyDescent="0.3">
      <c r="A94" s="338" t="s">
        <v>45</v>
      </c>
      <c r="B94" s="5" t="s">
        <v>243</v>
      </c>
      <c r="C94" s="56">
        <v>110</v>
      </c>
      <c r="D94" s="76" t="s">
        <v>46</v>
      </c>
      <c r="E94" s="76" t="s">
        <v>30</v>
      </c>
      <c r="F94" s="3">
        <f>пр.4!G272</f>
        <v>12945.800000000001</v>
      </c>
      <c r="G94" s="3">
        <f>пр.4!H272</f>
        <v>12945.800000000001</v>
      </c>
      <c r="H94" s="77">
        <f>пр.4!I272</f>
        <v>12945.800000000001</v>
      </c>
    </row>
    <row r="95" spans="1:8" s="55" customFormat="1" ht="15.75" x14ac:dyDescent="0.25">
      <c r="A95" s="185" t="s">
        <v>532</v>
      </c>
      <c r="B95" s="186" t="s">
        <v>529</v>
      </c>
      <c r="C95" s="108"/>
      <c r="D95" s="311"/>
      <c r="E95" s="311"/>
      <c r="F95" s="110">
        <f>F96</f>
        <v>0</v>
      </c>
      <c r="G95" s="110">
        <f t="shared" ref="G95:H96" si="22">G96</f>
        <v>0</v>
      </c>
      <c r="H95" s="111">
        <f t="shared" si="22"/>
        <v>15240.6</v>
      </c>
    </row>
    <row r="96" spans="1:8" s="55" customFormat="1" ht="15.75" x14ac:dyDescent="0.25">
      <c r="A96" s="89" t="s">
        <v>535</v>
      </c>
      <c r="B96" s="112" t="s">
        <v>235</v>
      </c>
      <c r="C96" s="87"/>
      <c r="D96" s="88"/>
      <c r="E96" s="88"/>
      <c r="F96" s="73">
        <f>F97</f>
        <v>0</v>
      </c>
      <c r="G96" s="73">
        <f t="shared" si="22"/>
        <v>0</v>
      </c>
      <c r="H96" s="74">
        <f t="shared" si="22"/>
        <v>15240.6</v>
      </c>
    </row>
    <row r="97" spans="1:8" s="55" customFormat="1" ht="25.5" x14ac:dyDescent="0.25">
      <c r="A97" s="730" t="str">
        <f>пр.4!A275</f>
        <v>Капитальный ремонт объектов культуры городских и сельских поселений муниципальных районов, муниципального и городского округов Ленинградской области</v>
      </c>
      <c r="B97" s="5" t="s">
        <v>531</v>
      </c>
      <c r="C97" s="87"/>
      <c r="D97" s="88"/>
      <c r="E97" s="88"/>
      <c r="F97" s="3">
        <f>F98</f>
        <v>0</v>
      </c>
      <c r="G97" s="3">
        <f t="shared" ref="F97:H99" si="23">G98</f>
        <v>0</v>
      </c>
      <c r="H97" s="77">
        <f t="shared" si="23"/>
        <v>15240.6</v>
      </c>
    </row>
    <row r="98" spans="1:8" s="55" customFormat="1" ht="15.75" x14ac:dyDescent="0.25">
      <c r="A98" s="75" t="s">
        <v>31</v>
      </c>
      <c r="B98" s="5" t="s">
        <v>531</v>
      </c>
      <c r="C98" s="56">
        <v>200</v>
      </c>
      <c r="D98" s="88"/>
      <c r="E98" s="88"/>
      <c r="F98" s="3">
        <f t="shared" si="23"/>
        <v>0</v>
      </c>
      <c r="G98" s="3">
        <f t="shared" si="23"/>
        <v>0</v>
      </c>
      <c r="H98" s="77">
        <f t="shared" si="23"/>
        <v>15240.6</v>
      </c>
    </row>
    <row r="99" spans="1:8" s="55" customFormat="1" ht="15.75" x14ac:dyDescent="0.25">
      <c r="A99" s="10" t="s">
        <v>67</v>
      </c>
      <c r="B99" s="5" t="s">
        <v>531</v>
      </c>
      <c r="C99" s="56">
        <v>240</v>
      </c>
      <c r="D99" s="76"/>
      <c r="E99" s="76"/>
      <c r="F99" s="3">
        <f t="shared" si="23"/>
        <v>0</v>
      </c>
      <c r="G99" s="3">
        <f t="shared" si="23"/>
        <v>0</v>
      </c>
      <c r="H99" s="77">
        <f t="shared" si="23"/>
        <v>15240.6</v>
      </c>
    </row>
    <row r="100" spans="1:8" s="55" customFormat="1" ht="16.5" thickBot="1" x14ac:dyDescent="0.3">
      <c r="A100" s="338" t="s">
        <v>45</v>
      </c>
      <c r="B100" s="5" t="s">
        <v>531</v>
      </c>
      <c r="C100" s="56">
        <v>240</v>
      </c>
      <c r="D100" s="76" t="s">
        <v>46</v>
      </c>
      <c r="E100" s="76" t="s">
        <v>30</v>
      </c>
      <c r="F100" s="3">
        <f>пр.4!G277</f>
        <v>0</v>
      </c>
      <c r="G100" s="3">
        <f>пр.4!H277</f>
        <v>0</v>
      </c>
      <c r="H100" s="77">
        <f>пр.4!I277</f>
        <v>15240.6</v>
      </c>
    </row>
    <row r="101" spans="1:8" s="55" customFormat="1" ht="26.25" thickBot="1" x14ac:dyDescent="0.3">
      <c r="A101" s="66" t="s">
        <v>373</v>
      </c>
      <c r="B101" s="59" t="s">
        <v>48</v>
      </c>
      <c r="C101" s="59"/>
      <c r="D101" s="67"/>
      <c r="E101" s="67"/>
      <c r="F101" s="68">
        <f>F102</f>
        <v>12440</v>
      </c>
      <c r="G101" s="68">
        <f>G102</f>
        <v>1246</v>
      </c>
      <c r="H101" s="69">
        <f>H102</f>
        <v>1246</v>
      </c>
    </row>
    <row r="102" spans="1:8" s="55" customFormat="1" ht="15.75" x14ac:dyDescent="0.25">
      <c r="A102" s="185" t="s">
        <v>232</v>
      </c>
      <c r="B102" s="186" t="s">
        <v>245</v>
      </c>
      <c r="C102" s="108"/>
      <c r="D102" s="109"/>
      <c r="E102" s="109"/>
      <c r="F102" s="110">
        <f>F103+F108+F116</f>
        <v>12440</v>
      </c>
      <c r="G102" s="110">
        <f>G103+G108+G116</f>
        <v>1246</v>
      </c>
      <c r="H102" s="111">
        <f>H103+H108+H116</f>
        <v>1246</v>
      </c>
    </row>
    <row r="103" spans="1:8" s="55" customFormat="1" ht="25.5" x14ac:dyDescent="0.25">
      <c r="A103" s="89" t="s">
        <v>246</v>
      </c>
      <c r="B103" s="112" t="s">
        <v>247</v>
      </c>
      <c r="C103" s="87"/>
      <c r="D103" s="88"/>
      <c r="E103" s="88"/>
      <c r="F103" s="73">
        <f>F104</f>
        <v>3200</v>
      </c>
      <c r="G103" s="73">
        <f>G104</f>
        <v>786</v>
      </c>
      <c r="H103" s="74">
        <f>H104</f>
        <v>786</v>
      </c>
    </row>
    <row r="104" spans="1:8" s="55" customFormat="1" ht="25.5" x14ac:dyDescent="0.25">
      <c r="A104" s="9" t="s">
        <v>414</v>
      </c>
      <c r="B104" s="5" t="s">
        <v>248</v>
      </c>
      <c r="C104" s="87"/>
      <c r="D104" s="88"/>
      <c r="E104" s="88"/>
      <c r="F104" s="3">
        <f>F106</f>
        <v>3200</v>
      </c>
      <c r="G104" s="3">
        <f>G106</f>
        <v>786</v>
      </c>
      <c r="H104" s="77">
        <f>H106</f>
        <v>786</v>
      </c>
    </row>
    <row r="105" spans="1:8" s="55" customFormat="1" ht="15.75" x14ac:dyDescent="0.25">
      <c r="A105" s="75" t="s">
        <v>31</v>
      </c>
      <c r="B105" s="5" t="s">
        <v>248</v>
      </c>
      <c r="C105" s="56">
        <v>200</v>
      </c>
      <c r="D105" s="88"/>
      <c r="E105" s="88"/>
      <c r="F105" s="3">
        <f t="shared" ref="F105:H106" si="24">F106</f>
        <v>3200</v>
      </c>
      <c r="G105" s="3">
        <f t="shared" si="24"/>
        <v>786</v>
      </c>
      <c r="H105" s="77">
        <f t="shared" si="24"/>
        <v>786</v>
      </c>
    </row>
    <row r="106" spans="1:8" s="55" customFormat="1" ht="15.75" x14ac:dyDescent="0.25">
      <c r="A106" s="10" t="s">
        <v>67</v>
      </c>
      <c r="B106" s="5" t="s">
        <v>248</v>
      </c>
      <c r="C106" s="56">
        <v>240</v>
      </c>
      <c r="D106" s="76"/>
      <c r="E106" s="76"/>
      <c r="F106" s="3">
        <f t="shared" si="24"/>
        <v>3200</v>
      </c>
      <c r="G106" s="3">
        <f t="shared" si="24"/>
        <v>786</v>
      </c>
      <c r="H106" s="77">
        <f t="shared" si="24"/>
        <v>786</v>
      </c>
    </row>
    <row r="107" spans="1:8" s="55" customFormat="1" ht="32.25" customHeight="1" x14ac:dyDescent="0.25">
      <c r="A107" s="10" t="s">
        <v>295</v>
      </c>
      <c r="B107" s="5" t="s">
        <v>248</v>
      </c>
      <c r="C107" s="4">
        <v>240</v>
      </c>
      <c r="D107" s="1" t="s">
        <v>40</v>
      </c>
      <c r="E107" s="1" t="s">
        <v>118</v>
      </c>
      <c r="F107" s="3">
        <f>пр.4!G93</f>
        <v>3200</v>
      </c>
      <c r="G107" s="3">
        <f>пр.4!H93</f>
        <v>786</v>
      </c>
      <c r="H107" s="77">
        <f>пр.4!I93</f>
        <v>786</v>
      </c>
    </row>
    <row r="108" spans="1:8" s="55" customFormat="1" ht="15" customHeight="1" x14ac:dyDescent="0.25">
      <c r="A108" s="89" t="s">
        <v>418</v>
      </c>
      <c r="B108" s="112" t="s">
        <v>249</v>
      </c>
      <c r="C108" s="103"/>
      <c r="D108" s="104"/>
      <c r="E108" s="104"/>
      <c r="F108" s="73">
        <f t="shared" ref="F108:H114" si="25">F109</f>
        <v>2640</v>
      </c>
      <c r="G108" s="73">
        <f t="shared" si="25"/>
        <v>460</v>
      </c>
      <c r="H108" s="74">
        <f t="shared" si="25"/>
        <v>460</v>
      </c>
    </row>
    <row r="109" spans="1:8" s="55" customFormat="1" ht="15.75" x14ac:dyDescent="0.25">
      <c r="A109" s="9" t="s">
        <v>50</v>
      </c>
      <c r="B109" s="5" t="s">
        <v>250</v>
      </c>
      <c r="C109" s="4"/>
      <c r="D109" s="1"/>
      <c r="E109" s="1"/>
      <c r="F109" s="3">
        <f>F110+F113</f>
        <v>2640</v>
      </c>
      <c r="G109" s="3">
        <f t="shared" ref="G109:H109" si="26">G110+G113</f>
        <v>460</v>
      </c>
      <c r="H109" s="77">
        <f t="shared" si="26"/>
        <v>460</v>
      </c>
    </row>
    <row r="110" spans="1:8" s="55" customFormat="1" ht="15.75" x14ac:dyDescent="0.25">
      <c r="A110" s="86" t="s">
        <v>31</v>
      </c>
      <c r="B110" s="5" t="s">
        <v>250</v>
      </c>
      <c r="C110" s="4">
        <v>200</v>
      </c>
      <c r="D110" s="1"/>
      <c r="E110" s="1"/>
      <c r="F110" s="3">
        <f t="shared" si="25"/>
        <v>2570</v>
      </c>
      <c r="G110" s="3">
        <f t="shared" si="25"/>
        <v>460</v>
      </c>
      <c r="H110" s="77">
        <f t="shared" si="25"/>
        <v>460</v>
      </c>
    </row>
    <row r="111" spans="1:8" s="55" customFormat="1" ht="15.75" x14ac:dyDescent="0.25">
      <c r="A111" s="10" t="s">
        <v>67</v>
      </c>
      <c r="B111" s="5" t="s">
        <v>250</v>
      </c>
      <c r="C111" s="4">
        <v>240</v>
      </c>
      <c r="D111" s="1"/>
      <c r="E111" s="1"/>
      <c r="F111" s="3">
        <f t="shared" si="25"/>
        <v>2570</v>
      </c>
      <c r="G111" s="3">
        <f t="shared" si="25"/>
        <v>460</v>
      </c>
      <c r="H111" s="77">
        <f t="shared" si="25"/>
        <v>460</v>
      </c>
    </row>
    <row r="112" spans="1:8" s="55" customFormat="1" ht="32.25" customHeight="1" x14ac:dyDescent="0.25">
      <c r="A112" s="10" t="s">
        <v>295</v>
      </c>
      <c r="B112" s="5" t="s">
        <v>250</v>
      </c>
      <c r="C112" s="4">
        <v>240</v>
      </c>
      <c r="D112" s="1" t="s">
        <v>40</v>
      </c>
      <c r="E112" s="1" t="s">
        <v>118</v>
      </c>
      <c r="F112" s="3">
        <f>пр.4!G97</f>
        <v>2570</v>
      </c>
      <c r="G112" s="3">
        <f>пр.4!H97</f>
        <v>460</v>
      </c>
      <c r="H112" s="77">
        <f>пр.4!I97</f>
        <v>460</v>
      </c>
    </row>
    <row r="113" spans="1:8" s="55" customFormat="1" ht="15.75" x14ac:dyDescent="0.25">
      <c r="A113" s="75" t="s">
        <v>33</v>
      </c>
      <c r="B113" s="5" t="s">
        <v>250</v>
      </c>
      <c r="C113" s="4">
        <v>800</v>
      </c>
      <c r="D113" s="1"/>
      <c r="E113" s="1"/>
      <c r="F113" s="3">
        <f t="shared" si="25"/>
        <v>70</v>
      </c>
      <c r="G113" s="3">
        <f t="shared" si="25"/>
        <v>0</v>
      </c>
      <c r="H113" s="77">
        <f t="shared" si="25"/>
        <v>0</v>
      </c>
    </row>
    <row r="114" spans="1:8" s="55" customFormat="1" ht="15.75" x14ac:dyDescent="0.25">
      <c r="A114" s="10" t="s">
        <v>76</v>
      </c>
      <c r="B114" s="5" t="s">
        <v>250</v>
      </c>
      <c r="C114" s="4">
        <v>850</v>
      </c>
      <c r="D114" s="1"/>
      <c r="E114" s="1"/>
      <c r="F114" s="3">
        <f t="shared" si="25"/>
        <v>70</v>
      </c>
      <c r="G114" s="3">
        <f t="shared" si="25"/>
        <v>0</v>
      </c>
      <c r="H114" s="77">
        <f t="shared" si="25"/>
        <v>0</v>
      </c>
    </row>
    <row r="115" spans="1:8" s="55" customFormat="1" ht="32.25" customHeight="1" x14ac:dyDescent="0.25">
      <c r="A115" s="10" t="s">
        <v>295</v>
      </c>
      <c r="B115" s="5" t="s">
        <v>250</v>
      </c>
      <c r="C115" s="4">
        <v>850</v>
      </c>
      <c r="D115" s="1" t="s">
        <v>40</v>
      </c>
      <c r="E115" s="1" t="s">
        <v>118</v>
      </c>
      <c r="F115" s="3">
        <f>пр.4!G99</f>
        <v>70</v>
      </c>
      <c r="G115" s="3">
        <f>пр.4!H99</f>
        <v>0</v>
      </c>
      <c r="H115" s="77">
        <f>пр.4!I99</f>
        <v>0</v>
      </c>
    </row>
    <row r="116" spans="1:8" s="55" customFormat="1" ht="25.5" x14ac:dyDescent="0.25">
      <c r="A116" s="312" t="s">
        <v>350</v>
      </c>
      <c r="B116" s="313" t="s">
        <v>351</v>
      </c>
      <c r="C116" s="103"/>
      <c r="D116" s="104"/>
      <c r="E116" s="104"/>
      <c r="F116" s="73">
        <f>F117</f>
        <v>6600</v>
      </c>
      <c r="G116" s="73">
        <f t="shared" ref="G116:H119" si="27">G117</f>
        <v>0</v>
      </c>
      <c r="H116" s="74">
        <f t="shared" si="27"/>
        <v>0</v>
      </c>
    </row>
    <row r="117" spans="1:8" s="55" customFormat="1" ht="25.5" x14ac:dyDescent="0.25">
      <c r="A117" s="116" t="s">
        <v>352</v>
      </c>
      <c r="B117" s="85" t="s">
        <v>353</v>
      </c>
      <c r="C117" s="4"/>
      <c r="D117" s="1"/>
      <c r="E117" s="1"/>
      <c r="F117" s="3">
        <f>F118</f>
        <v>6600</v>
      </c>
      <c r="G117" s="3">
        <f t="shared" si="27"/>
        <v>0</v>
      </c>
      <c r="H117" s="77">
        <f t="shared" si="27"/>
        <v>0</v>
      </c>
    </row>
    <row r="118" spans="1:8" s="55" customFormat="1" ht="15.75" x14ac:dyDescent="0.25">
      <c r="A118" s="116" t="s">
        <v>65</v>
      </c>
      <c r="B118" s="85" t="s">
        <v>353</v>
      </c>
      <c r="C118" s="85" t="s">
        <v>66</v>
      </c>
      <c r="D118" s="85"/>
      <c r="E118" s="85"/>
      <c r="F118" s="3">
        <f>F119</f>
        <v>6600</v>
      </c>
      <c r="G118" s="3">
        <f t="shared" si="27"/>
        <v>0</v>
      </c>
      <c r="H118" s="77">
        <f t="shared" si="27"/>
        <v>0</v>
      </c>
    </row>
    <row r="119" spans="1:8" s="55" customFormat="1" ht="15.75" x14ac:dyDescent="0.25">
      <c r="A119" s="117" t="s">
        <v>67</v>
      </c>
      <c r="B119" s="85" t="s">
        <v>353</v>
      </c>
      <c r="C119" s="5" t="s">
        <v>68</v>
      </c>
      <c r="D119" s="85"/>
      <c r="E119" s="85"/>
      <c r="F119" s="3">
        <f>F120</f>
        <v>6600</v>
      </c>
      <c r="G119" s="3">
        <f t="shared" si="27"/>
        <v>0</v>
      </c>
      <c r="H119" s="77">
        <f t="shared" si="27"/>
        <v>0</v>
      </c>
    </row>
    <row r="120" spans="1:8" s="55" customFormat="1" ht="16.5" thickBot="1" x14ac:dyDescent="0.3">
      <c r="A120" s="118" t="s">
        <v>144</v>
      </c>
      <c r="B120" s="119" t="s">
        <v>353</v>
      </c>
      <c r="C120" s="105" t="s">
        <v>68</v>
      </c>
      <c r="D120" s="119" t="s">
        <v>40</v>
      </c>
      <c r="E120" s="119" t="s">
        <v>145</v>
      </c>
      <c r="F120" s="93">
        <f>пр.4!G112</f>
        <v>6600</v>
      </c>
      <c r="G120" s="93">
        <f>пр.4!H112</f>
        <v>0</v>
      </c>
      <c r="H120" s="94">
        <f>пр.4!I112</f>
        <v>0</v>
      </c>
    </row>
    <row r="121" spans="1:8" s="55" customFormat="1" ht="26.25" thickBot="1" x14ac:dyDescent="0.3">
      <c r="A121" s="120" t="s">
        <v>375</v>
      </c>
      <c r="B121" s="121" t="s">
        <v>51</v>
      </c>
      <c r="C121" s="121"/>
      <c r="D121" s="122"/>
      <c r="E121" s="122"/>
      <c r="F121" s="68">
        <f>F122+F145</f>
        <v>81930.614150000009</v>
      </c>
      <c r="G121" s="68">
        <f>G122+G145</f>
        <v>24206.614000000001</v>
      </c>
      <c r="H121" s="69">
        <f>H122+H145</f>
        <v>24238.805</v>
      </c>
    </row>
    <row r="122" spans="1:8" s="55" customFormat="1" ht="15.75" x14ac:dyDescent="0.25">
      <c r="A122" s="314" t="s">
        <v>232</v>
      </c>
      <c r="B122" s="315" t="s">
        <v>251</v>
      </c>
      <c r="C122" s="123"/>
      <c r="D122" s="316"/>
      <c r="E122" s="316"/>
      <c r="F122" s="110">
        <f>F123+F140</f>
        <v>81930.614150000009</v>
      </c>
      <c r="G122" s="110">
        <f>G123+G140</f>
        <v>18535.092260000001</v>
      </c>
      <c r="H122" s="111">
        <f>H123+H140</f>
        <v>18608.585210000001</v>
      </c>
    </row>
    <row r="123" spans="1:8" s="55" customFormat="1" ht="38.25" x14ac:dyDescent="0.25">
      <c r="A123" s="302" t="s">
        <v>252</v>
      </c>
      <c r="B123" s="317" t="s">
        <v>253</v>
      </c>
      <c r="C123" s="125"/>
      <c r="D123" s="126"/>
      <c r="E123" s="126"/>
      <c r="F123" s="73">
        <f>F124+F128+F136+F132</f>
        <v>78930.614150000009</v>
      </c>
      <c r="G123" s="73">
        <f>G124+G128+G136+G132</f>
        <v>18035.092260000001</v>
      </c>
      <c r="H123" s="74">
        <f>H124+H128+H136+H132</f>
        <v>18108.585210000001</v>
      </c>
    </row>
    <row r="124" spans="1:8" s="55" customFormat="1" ht="15.75" x14ac:dyDescent="0.25">
      <c r="A124" s="124" t="s">
        <v>52</v>
      </c>
      <c r="B124" s="7" t="s">
        <v>254</v>
      </c>
      <c r="C124" s="114"/>
      <c r="D124" s="115"/>
      <c r="E124" s="115"/>
      <c r="F124" s="3">
        <f>F126</f>
        <v>19601.2</v>
      </c>
      <c r="G124" s="3">
        <f>G126</f>
        <v>15554</v>
      </c>
      <c r="H124" s="77">
        <f>H126</f>
        <v>15554</v>
      </c>
    </row>
    <row r="125" spans="1:8" s="55" customFormat="1" ht="15.75" x14ac:dyDescent="0.25">
      <c r="A125" s="127" t="s">
        <v>31</v>
      </c>
      <c r="B125" s="7" t="s">
        <v>254</v>
      </c>
      <c r="C125" s="114">
        <v>200</v>
      </c>
      <c r="D125" s="115"/>
      <c r="E125" s="115"/>
      <c r="F125" s="3">
        <f t="shared" ref="F125:H126" si="28">F126</f>
        <v>19601.2</v>
      </c>
      <c r="G125" s="3">
        <f t="shared" si="28"/>
        <v>15554</v>
      </c>
      <c r="H125" s="77">
        <f t="shared" si="28"/>
        <v>15554</v>
      </c>
    </row>
    <row r="126" spans="1:8" s="55" customFormat="1" ht="15.75" x14ac:dyDescent="0.25">
      <c r="A126" s="128" t="s">
        <v>67</v>
      </c>
      <c r="B126" s="7" t="s">
        <v>254</v>
      </c>
      <c r="C126" s="114">
        <v>240</v>
      </c>
      <c r="D126" s="115"/>
      <c r="E126" s="115"/>
      <c r="F126" s="3">
        <f t="shared" si="28"/>
        <v>19601.2</v>
      </c>
      <c r="G126" s="3">
        <f t="shared" si="28"/>
        <v>15554</v>
      </c>
      <c r="H126" s="77">
        <f t="shared" si="28"/>
        <v>15554</v>
      </c>
    </row>
    <row r="127" spans="1:8" s="55" customFormat="1" ht="15.75" x14ac:dyDescent="0.25">
      <c r="A127" s="343" t="s">
        <v>53</v>
      </c>
      <c r="B127" s="7" t="s">
        <v>254</v>
      </c>
      <c r="C127" s="114">
        <v>240</v>
      </c>
      <c r="D127" s="115" t="s">
        <v>36</v>
      </c>
      <c r="E127" s="115" t="s">
        <v>49</v>
      </c>
      <c r="F127" s="3">
        <f>пр.4!G138</f>
        <v>19601.2</v>
      </c>
      <c r="G127" s="3">
        <f>пр.4!H138</f>
        <v>15554</v>
      </c>
      <c r="H127" s="77">
        <f>пр.4!I138</f>
        <v>15554</v>
      </c>
    </row>
    <row r="128" spans="1:8" s="55" customFormat="1" ht="15.75" customHeight="1" x14ac:dyDescent="0.25">
      <c r="A128" s="9" t="s">
        <v>256</v>
      </c>
      <c r="B128" s="5" t="s">
        <v>255</v>
      </c>
      <c r="C128" s="114"/>
      <c r="D128" s="115"/>
      <c r="E128" s="115"/>
      <c r="F128" s="3">
        <f>F129</f>
        <v>22050.68965</v>
      </c>
      <c r="G128" s="3">
        <f>G129</f>
        <v>0</v>
      </c>
      <c r="H128" s="77">
        <f>H129</f>
        <v>0</v>
      </c>
    </row>
    <row r="129" spans="1:8" s="55" customFormat="1" ht="15.75" x14ac:dyDescent="0.25">
      <c r="A129" s="127" t="s">
        <v>31</v>
      </c>
      <c r="B129" s="7" t="s">
        <v>255</v>
      </c>
      <c r="C129" s="114">
        <v>200</v>
      </c>
      <c r="D129" s="115"/>
      <c r="E129" s="115"/>
      <c r="F129" s="3">
        <f t="shared" ref="F129:H130" si="29">F130</f>
        <v>22050.68965</v>
      </c>
      <c r="G129" s="3">
        <f t="shared" si="29"/>
        <v>0</v>
      </c>
      <c r="H129" s="77">
        <f t="shared" si="29"/>
        <v>0</v>
      </c>
    </row>
    <row r="130" spans="1:8" s="55" customFormat="1" ht="15.75" customHeight="1" x14ac:dyDescent="0.25">
      <c r="A130" s="128" t="s">
        <v>67</v>
      </c>
      <c r="B130" s="7" t="s">
        <v>255</v>
      </c>
      <c r="C130" s="114">
        <v>240</v>
      </c>
      <c r="D130" s="115"/>
      <c r="E130" s="115"/>
      <c r="F130" s="3">
        <f t="shared" si="29"/>
        <v>22050.68965</v>
      </c>
      <c r="G130" s="3">
        <f t="shared" si="29"/>
        <v>0</v>
      </c>
      <c r="H130" s="77">
        <f t="shared" si="29"/>
        <v>0</v>
      </c>
    </row>
    <row r="131" spans="1:8" s="55" customFormat="1" ht="15.75" x14ac:dyDescent="0.25">
      <c r="A131" s="343" t="s">
        <v>53</v>
      </c>
      <c r="B131" s="7" t="s">
        <v>255</v>
      </c>
      <c r="C131" s="114">
        <v>240</v>
      </c>
      <c r="D131" s="115" t="s">
        <v>36</v>
      </c>
      <c r="E131" s="115" t="s">
        <v>49</v>
      </c>
      <c r="F131" s="3">
        <f>пр.4!G141</f>
        <v>22050.68965</v>
      </c>
      <c r="G131" s="3">
        <f>пр.4!H141</f>
        <v>0</v>
      </c>
      <c r="H131" s="77">
        <f>пр.4!I141</f>
        <v>0</v>
      </c>
    </row>
    <row r="132" spans="1:8" s="55" customFormat="1" ht="25.5" x14ac:dyDescent="0.25">
      <c r="A132" s="127" t="s">
        <v>411</v>
      </c>
      <c r="B132" s="7" t="s">
        <v>395</v>
      </c>
      <c r="C132" s="114"/>
      <c r="D132" s="115"/>
      <c r="E132" s="115"/>
      <c r="F132" s="3">
        <f>F133</f>
        <v>2820.3484100000001</v>
      </c>
      <c r="G132" s="3">
        <f t="shared" ref="G132:H134" si="30">G133</f>
        <v>2481.0922599999999</v>
      </c>
      <c r="H132" s="77">
        <f t="shared" si="30"/>
        <v>2554.5852100000002</v>
      </c>
    </row>
    <row r="133" spans="1:8" s="55" customFormat="1" ht="15.75" x14ac:dyDescent="0.25">
      <c r="A133" s="127" t="s">
        <v>31</v>
      </c>
      <c r="B133" s="7" t="s">
        <v>395</v>
      </c>
      <c r="C133" s="114">
        <v>200</v>
      </c>
      <c r="D133" s="115"/>
      <c r="E133" s="115"/>
      <c r="F133" s="3">
        <f>F134</f>
        <v>2820.3484100000001</v>
      </c>
      <c r="G133" s="3">
        <f t="shared" si="30"/>
        <v>2481.0922599999999</v>
      </c>
      <c r="H133" s="77">
        <f t="shared" si="30"/>
        <v>2554.5852100000002</v>
      </c>
    </row>
    <row r="134" spans="1:8" s="55" customFormat="1" ht="15.75" x14ac:dyDescent="0.25">
      <c r="A134" s="128" t="s">
        <v>67</v>
      </c>
      <c r="B134" s="7" t="s">
        <v>395</v>
      </c>
      <c r="C134" s="114">
        <v>240</v>
      </c>
      <c r="D134" s="115"/>
      <c r="E134" s="115"/>
      <c r="F134" s="3">
        <f>F135</f>
        <v>2820.3484100000001</v>
      </c>
      <c r="G134" s="3">
        <f t="shared" si="30"/>
        <v>2481.0922599999999</v>
      </c>
      <c r="H134" s="77">
        <f t="shared" si="30"/>
        <v>2554.5852100000002</v>
      </c>
    </row>
    <row r="135" spans="1:8" s="55" customFormat="1" ht="15.75" x14ac:dyDescent="0.25">
      <c r="A135" s="343" t="s">
        <v>53</v>
      </c>
      <c r="B135" s="7" t="s">
        <v>395</v>
      </c>
      <c r="C135" s="114">
        <v>240</v>
      </c>
      <c r="D135" s="115" t="s">
        <v>36</v>
      </c>
      <c r="E135" s="115" t="s">
        <v>49</v>
      </c>
      <c r="F135" s="3">
        <f>пр.4!G147</f>
        <v>2820.3484100000001</v>
      </c>
      <c r="G135" s="3">
        <f>пр.4!H147</f>
        <v>2481.0922599999999</v>
      </c>
      <c r="H135" s="77">
        <f>пр.4!I147</f>
        <v>2554.5852100000002</v>
      </c>
    </row>
    <row r="136" spans="1:8" s="55" customFormat="1" ht="25.5" x14ac:dyDescent="0.25">
      <c r="A136" s="86" t="s">
        <v>303</v>
      </c>
      <c r="B136" s="4" t="s">
        <v>257</v>
      </c>
      <c r="C136" s="114"/>
      <c r="D136" s="115"/>
      <c r="E136" s="115"/>
      <c r="F136" s="3">
        <f t="shared" ref="F136:H138" si="31">F137</f>
        <v>34458.376090000005</v>
      </c>
      <c r="G136" s="3">
        <f t="shared" si="31"/>
        <v>0</v>
      </c>
      <c r="H136" s="77">
        <f t="shared" si="31"/>
        <v>0</v>
      </c>
    </row>
    <row r="137" spans="1:8" s="55" customFormat="1" ht="15.75" x14ac:dyDescent="0.25">
      <c r="A137" s="127" t="s">
        <v>31</v>
      </c>
      <c r="B137" s="114" t="s">
        <v>257</v>
      </c>
      <c r="C137" s="114">
        <v>200</v>
      </c>
      <c r="D137" s="115"/>
      <c r="E137" s="115"/>
      <c r="F137" s="3">
        <f t="shared" si="31"/>
        <v>34458.376090000005</v>
      </c>
      <c r="G137" s="3">
        <f t="shared" si="31"/>
        <v>0</v>
      </c>
      <c r="H137" s="77">
        <f t="shared" si="31"/>
        <v>0</v>
      </c>
    </row>
    <row r="138" spans="1:8" s="55" customFormat="1" ht="15.75" x14ac:dyDescent="0.25">
      <c r="A138" s="128" t="s">
        <v>67</v>
      </c>
      <c r="B138" s="114" t="s">
        <v>257</v>
      </c>
      <c r="C138" s="114">
        <v>240</v>
      </c>
      <c r="D138" s="115"/>
      <c r="E138" s="115"/>
      <c r="F138" s="3">
        <f t="shared" si="31"/>
        <v>34458.376090000005</v>
      </c>
      <c r="G138" s="3">
        <f t="shared" si="31"/>
        <v>0</v>
      </c>
      <c r="H138" s="77">
        <f t="shared" si="31"/>
        <v>0</v>
      </c>
    </row>
    <row r="139" spans="1:8" s="55" customFormat="1" ht="15.75" x14ac:dyDescent="0.25">
      <c r="A139" s="343" t="s">
        <v>53</v>
      </c>
      <c r="B139" s="114" t="s">
        <v>257</v>
      </c>
      <c r="C139" s="114">
        <v>240</v>
      </c>
      <c r="D139" s="115" t="s">
        <v>36</v>
      </c>
      <c r="E139" s="115" t="s">
        <v>49</v>
      </c>
      <c r="F139" s="3">
        <f>пр.4!G144</f>
        <v>34458.376090000005</v>
      </c>
      <c r="G139" s="3">
        <f>пр.4!H144</f>
        <v>0</v>
      </c>
      <c r="H139" s="77">
        <f>пр.4!I144</f>
        <v>0</v>
      </c>
    </row>
    <row r="140" spans="1:8" s="55" customFormat="1" ht="15.75" x14ac:dyDescent="0.25">
      <c r="A140" s="102" t="s">
        <v>286</v>
      </c>
      <c r="B140" s="112" t="s">
        <v>287</v>
      </c>
      <c r="C140" s="103"/>
      <c r="D140" s="104"/>
      <c r="E140" s="104"/>
      <c r="F140" s="73">
        <f>F141</f>
        <v>3000</v>
      </c>
      <c r="G140" s="73">
        <f>G141</f>
        <v>500</v>
      </c>
      <c r="H140" s="74">
        <f>H141</f>
        <v>500</v>
      </c>
    </row>
    <row r="141" spans="1:8" s="55" customFormat="1" ht="15.75" x14ac:dyDescent="0.25">
      <c r="A141" s="86" t="s">
        <v>289</v>
      </c>
      <c r="B141" s="5" t="s">
        <v>288</v>
      </c>
      <c r="C141" s="4"/>
      <c r="D141" s="1"/>
      <c r="E141" s="1"/>
      <c r="F141" s="3">
        <f>F143</f>
        <v>3000</v>
      </c>
      <c r="G141" s="3">
        <f>G143</f>
        <v>500</v>
      </c>
      <c r="H141" s="77">
        <f>H143</f>
        <v>500</v>
      </c>
    </row>
    <row r="142" spans="1:8" s="55" customFormat="1" ht="15.75" x14ac:dyDescent="0.25">
      <c r="A142" s="9" t="s">
        <v>31</v>
      </c>
      <c r="B142" s="5" t="s">
        <v>288</v>
      </c>
      <c r="C142" s="4">
        <v>200</v>
      </c>
      <c r="D142" s="1"/>
      <c r="E142" s="1"/>
      <c r="F142" s="3">
        <f>F141</f>
        <v>3000</v>
      </c>
      <c r="G142" s="3">
        <f>G141</f>
        <v>500</v>
      </c>
      <c r="H142" s="77">
        <f>H141</f>
        <v>500</v>
      </c>
    </row>
    <row r="143" spans="1:8" s="55" customFormat="1" ht="15.75" x14ac:dyDescent="0.25">
      <c r="A143" s="10" t="s">
        <v>67</v>
      </c>
      <c r="B143" s="5" t="s">
        <v>288</v>
      </c>
      <c r="C143" s="4">
        <v>240</v>
      </c>
      <c r="D143" s="1"/>
      <c r="E143" s="1"/>
      <c r="F143" s="3">
        <f>F144</f>
        <v>3000</v>
      </c>
      <c r="G143" s="3">
        <f>G144</f>
        <v>500</v>
      </c>
      <c r="H143" s="77">
        <f>H144</f>
        <v>500</v>
      </c>
    </row>
    <row r="144" spans="1:8" s="55" customFormat="1" ht="15.75" x14ac:dyDescent="0.25">
      <c r="A144" s="345" t="s">
        <v>53</v>
      </c>
      <c r="B144" s="5" t="s">
        <v>288</v>
      </c>
      <c r="C144" s="4">
        <v>240</v>
      </c>
      <c r="D144" s="1" t="s">
        <v>36</v>
      </c>
      <c r="E144" s="1" t="s">
        <v>49</v>
      </c>
      <c r="F144" s="3">
        <f>пр.4!G151</f>
        <v>3000</v>
      </c>
      <c r="G144" s="3">
        <f>пр.4!H151</f>
        <v>500</v>
      </c>
      <c r="H144" s="77">
        <f>пр.4!I151</f>
        <v>500</v>
      </c>
    </row>
    <row r="145" spans="1:8" s="55" customFormat="1" ht="15.75" x14ac:dyDescent="0.25">
      <c r="A145" s="12" t="s">
        <v>410</v>
      </c>
      <c r="B145" s="112" t="s">
        <v>386</v>
      </c>
      <c r="C145" s="103"/>
      <c r="D145" s="104"/>
      <c r="E145" s="104"/>
      <c r="F145" s="73">
        <f>SUM(F146)</f>
        <v>0</v>
      </c>
      <c r="G145" s="73">
        <f>SUM(G146)</f>
        <v>5671.5217400000001</v>
      </c>
      <c r="H145" s="74">
        <f>SUM(H146)</f>
        <v>5630.2197900000001</v>
      </c>
    </row>
    <row r="146" spans="1:8" s="55" customFormat="1" ht="15.75" x14ac:dyDescent="0.25">
      <c r="A146" s="9" t="s">
        <v>389</v>
      </c>
      <c r="B146" s="5" t="s">
        <v>387</v>
      </c>
      <c r="C146" s="4"/>
      <c r="D146" s="1"/>
      <c r="E146" s="1"/>
      <c r="F146" s="3">
        <f>F148</f>
        <v>0</v>
      </c>
      <c r="G146" s="3">
        <f>G148</f>
        <v>5671.5217400000001</v>
      </c>
      <c r="H146" s="77">
        <f>H148</f>
        <v>5630.2197900000001</v>
      </c>
    </row>
    <row r="147" spans="1:8" s="55" customFormat="1" ht="15.75" x14ac:dyDescent="0.25">
      <c r="A147" s="9" t="s">
        <v>508</v>
      </c>
      <c r="B147" s="5" t="s">
        <v>388</v>
      </c>
      <c r="C147" s="4"/>
      <c r="D147" s="1"/>
      <c r="E147" s="1"/>
      <c r="F147" s="3">
        <f t="shared" ref="F147:H148" si="32">F148</f>
        <v>0</v>
      </c>
      <c r="G147" s="3">
        <f t="shared" si="32"/>
        <v>5671.5217400000001</v>
      </c>
      <c r="H147" s="77">
        <f t="shared" si="32"/>
        <v>5630.2197900000001</v>
      </c>
    </row>
    <row r="148" spans="1:8" s="55" customFormat="1" ht="15.75" x14ac:dyDescent="0.25">
      <c r="A148" s="9" t="s">
        <v>31</v>
      </c>
      <c r="B148" s="5" t="s">
        <v>388</v>
      </c>
      <c r="C148" s="4">
        <v>200</v>
      </c>
      <c r="D148" s="1"/>
      <c r="E148" s="1"/>
      <c r="F148" s="3">
        <f t="shared" si="32"/>
        <v>0</v>
      </c>
      <c r="G148" s="3">
        <f t="shared" si="32"/>
        <v>5671.5217400000001</v>
      </c>
      <c r="H148" s="77">
        <f t="shared" si="32"/>
        <v>5630.2197900000001</v>
      </c>
    </row>
    <row r="149" spans="1:8" s="55" customFormat="1" ht="15.75" x14ac:dyDescent="0.25">
      <c r="A149" s="10" t="s">
        <v>67</v>
      </c>
      <c r="B149" s="5" t="s">
        <v>388</v>
      </c>
      <c r="C149" s="4">
        <v>240</v>
      </c>
      <c r="D149" s="1"/>
      <c r="E149" s="1"/>
      <c r="F149" s="3">
        <v>0</v>
      </c>
      <c r="G149" s="3">
        <f>G150</f>
        <v>5671.5217400000001</v>
      </c>
      <c r="H149" s="77">
        <f>H150</f>
        <v>5630.2197900000001</v>
      </c>
    </row>
    <row r="150" spans="1:8" s="55" customFormat="1" ht="16.5" thickBot="1" x14ac:dyDescent="0.3">
      <c r="A150" s="344" t="s">
        <v>53</v>
      </c>
      <c r="B150" s="130" t="s">
        <v>388</v>
      </c>
      <c r="C150" s="307">
        <v>240</v>
      </c>
      <c r="D150" s="163" t="s">
        <v>36</v>
      </c>
      <c r="E150" s="163" t="s">
        <v>49</v>
      </c>
      <c r="F150" s="164">
        <f>пр.4!G156</f>
        <v>0</v>
      </c>
      <c r="G150" s="164">
        <f>пр.4!H156</f>
        <v>5671.5217400000001</v>
      </c>
      <c r="H150" s="165">
        <f>пр.4!I156</f>
        <v>5630.2197900000001</v>
      </c>
    </row>
    <row r="151" spans="1:8" s="55" customFormat="1" ht="26.25" thickBot="1" x14ac:dyDescent="0.3">
      <c r="A151" s="66" t="s">
        <v>376</v>
      </c>
      <c r="B151" s="59" t="s">
        <v>55</v>
      </c>
      <c r="C151" s="59"/>
      <c r="D151" s="67"/>
      <c r="E151" s="67"/>
      <c r="F151" s="68">
        <f>SUM(F152)</f>
        <v>500</v>
      </c>
      <c r="G151" s="68">
        <f>SUM(G152)</f>
        <v>394.01600000000002</v>
      </c>
      <c r="H151" s="69">
        <f>SUM(H152)</f>
        <v>394.01600000000002</v>
      </c>
    </row>
    <row r="152" spans="1:8" s="55" customFormat="1" ht="15.75" x14ac:dyDescent="0.25">
      <c r="A152" s="213" t="s">
        <v>232</v>
      </c>
      <c r="B152" s="214" t="s">
        <v>260</v>
      </c>
      <c r="C152" s="318"/>
      <c r="D152" s="319"/>
      <c r="E152" s="319"/>
      <c r="F152" s="71">
        <f t="shared" ref="F152:H153" si="33">F153</f>
        <v>500</v>
      </c>
      <c r="G152" s="71">
        <f t="shared" si="33"/>
        <v>394.01600000000002</v>
      </c>
      <c r="H152" s="72">
        <f t="shared" si="33"/>
        <v>394.01600000000002</v>
      </c>
    </row>
    <row r="153" spans="1:8" s="55" customFormat="1" ht="15.75" x14ac:dyDescent="0.25">
      <c r="A153" s="89" t="s">
        <v>258</v>
      </c>
      <c r="B153" s="112" t="s">
        <v>259</v>
      </c>
      <c r="C153" s="87"/>
      <c r="D153" s="88"/>
      <c r="E153" s="88"/>
      <c r="F153" s="73">
        <f t="shared" si="33"/>
        <v>500</v>
      </c>
      <c r="G153" s="73">
        <f t="shared" si="33"/>
        <v>394.01600000000002</v>
      </c>
      <c r="H153" s="74">
        <f t="shared" si="33"/>
        <v>394.01600000000002</v>
      </c>
    </row>
    <row r="154" spans="1:8" s="55" customFormat="1" ht="15.75" x14ac:dyDescent="0.25">
      <c r="A154" s="9" t="s">
        <v>59</v>
      </c>
      <c r="B154" s="5" t="s">
        <v>261</v>
      </c>
      <c r="C154" s="56"/>
      <c r="D154" s="76"/>
      <c r="E154" s="76"/>
      <c r="F154" s="3">
        <f>F156</f>
        <v>500</v>
      </c>
      <c r="G154" s="3">
        <f>G156</f>
        <v>394.01600000000002</v>
      </c>
      <c r="H154" s="77">
        <f>H156</f>
        <v>394.01600000000002</v>
      </c>
    </row>
    <row r="155" spans="1:8" s="55" customFormat="1" ht="15.75" x14ac:dyDescent="0.25">
      <c r="A155" s="75" t="s">
        <v>31</v>
      </c>
      <c r="B155" s="5" t="s">
        <v>261</v>
      </c>
      <c r="C155" s="56">
        <v>200</v>
      </c>
      <c r="D155" s="76"/>
      <c r="E155" s="76"/>
      <c r="F155" s="3">
        <f t="shared" ref="F155:H156" si="34">F156</f>
        <v>500</v>
      </c>
      <c r="G155" s="3">
        <f t="shared" si="34"/>
        <v>394.01600000000002</v>
      </c>
      <c r="H155" s="77">
        <f t="shared" si="34"/>
        <v>394.01600000000002</v>
      </c>
    </row>
    <row r="156" spans="1:8" s="55" customFormat="1" ht="15.75" x14ac:dyDescent="0.25">
      <c r="A156" s="10" t="s">
        <v>67</v>
      </c>
      <c r="B156" s="5" t="s">
        <v>261</v>
      </c>
      <c r="C156" s="56">
        <v>240</v>
      </c>
      <c r="D156" s="76"/>
      <c r="E156" s="76"/>
      <c r="F156" s="3">
        <f t="shared" si="34"/>
        <v>500</v>
      </c>
      <c r="G156" s="3">
        <f t="shared" si="34"/>
        <v>394.01600000000002</v>
      </c>
      <c r="H156" s="77">
        <f t="shared" si="34"/>
        <v>394.01600000000002</v>
      </c>
    </row>
    <row r="157" spans="1:8" s="55" customFormat="1" ht="16.5" thickBot="1" x14ac:dyDescent="0.3">
      <c r="A157" s="346" t="s">
        <v>56</v>
      </c>
      <c r="B157" s="105" t="s">
        <v>261</v>
      </c>
      <c r="C157" s="91">
        <v>240</v>
      </c>
      <c r="D157" s="92" t="s">
        <v>57</v>
      </c>
      <c r="E157" s="92" t="s">
        <v>58</v>
      </c>
      <c r="F157" s="93">
        <f>пр.4!G190</f>
        <v>500</v>
      </c>
      <c r="G157" s="93">
        <f>пр.4!H190</f>
        <v>394.01600000000002</v>
      </c>
      <c r="H157" s="94">
        <f>пр.4!I190</f>
        <v>394.01600000000002</v>
      </c>
    </row>
    <row r="158" spans="1:8" s="55" customFormat="1" ht="26.25" thickBot="1" x14ac:dyDescent="0.3">
      <c r="A158" s="132" t="s">
        <v>377</v>
      </c>
      <c r="B158" s="133" t="s">
        <v>60</v>
      </c>
      <c r="C158" s="133"/>
      <c r="D158" s="133"/>
      <c r="E158" s="133"/>
      <c r="F158" s="134">
        <f>F159</f>
        <v>142267.85149999999</v>
      </c>
      <c r="G158" s="134">
        <f>G159</f>
        <v>45218.5236</v>
      </c>
      <c r="H158" s="135">
        <f>H159</f>
        <v>45218.5236</v>
      </c>
    </row>
    <row r="159" spans="1:8" s="55" customFormat="1" ht="15.75" x14ac:dyDescent="0.25">
      <c r="A159" s="320" t="s">
        <v>232</v>
      </c>
      <c r="B159" s="321" t="s">
        <v>262</v>
      </c>
      <c r="C159" s="136"/>
      <c r="D159" s="136"/>
      <c r="E159" s="136"/>
      <c r="F159" s="322">
        <f>F160+F169</f>
        <v>142267.85149999999</v>
      </c>
      <c r="G159" s="322">
        <f>G160+G169</f>
        <v>45218.5236</v>
      </c>
      <c r="H159" s="323">
        <f>H160+H169</f>
        <v>45218.5236</v>
      </c>
    </row>
    <row r="160" spans="1:8" s="55" customFormat="1" ht="25.5" x14ac:dyDescent="0.25">
      <c r="A160" s="324" t="s">
        <v>263</v>
      </c>
      <c r="B160" s="139" t="s">
        <v>264</v>
      </c>
      <c r="C160" s="139"/>
      <c r="D160" s="325"/>
      <c r="E160" s="325"/>
      <c r="F160" s="140">
        <f>F161+F165</f>
        <v>139927.85149999999</v>
      </c>
      <c r="G160" s="140">
        <f>G161+G165</f>
        <v>44218.5236</v>
      </c>
      <c r="H160" s="141">
        <f>H161+H165</f>
        <v>44218.5236</v>
      </c>
    </row>
    <row r="161" spans="1:8" s="55" customFormat="1" ht="25.5" x14ac:dyDescent="0.25">
      <c r="A161" s="137" t="s">
        <v>378</v>
      </c>
      <c r="B161" s="138" t="s">
        <v>265</v>
      </c>
      <c r="C161" s="138"/>
      <c r="D161" s="138"/>
      <c r="E161" s="138"/>
      <c r="F161" s="142">
        <f t="shared" ref="F161:H163" si="35">F162</f>
        <v>138002.37993999998</v>
      </c>
      <c r="G161" s="142">
        <f t="shared" si="35"/>
        <v>44218.5236</v>
      </c>
      <c r="H161" s="143">
        <f t="shared" si="35"/>
        <v>44218.5236</v>
      </c>
    </row>
    <row r="162" spans="1:8" s="55" customFormat="1" ht="15.75" x14ac:dyDescent="0.25">
      <c r="A162" s="144" t="s">
        <v>31</v>
      </c>
      <c r="B162" s="138" t="s">
        <v>265</v>
      </c>
      <c r="C162" s="145">
        <v>200</v>
      </c>
      <c r="D162" s="138"/>
      <c r="E162" s="138"/>
      <c r="F162" s="142">
        <f t="shared" si="35"/>
        <v>138002.37993999998</v>
      </c>
      <c r="G162" s="142">
        <f t="shared" si="35"/>
        <v>44218.5236</v>
      </c>
      <c r="H162" s="143">
        <f t="shared" si="35"/>
        <v>44218.5236</v>
      </c>
    </row>
    <row r="163" spans="1:8" s="55" customFormat="1" ht="15.75" x14ac:dyDescent="0.25">
      <c r="A163" s="146" t="s">
        <v>67</v>
      </c>
      <c r="B163" s="138" t="s">
        <v>265</v>
      </c>
      <c r="C163" s="145">
        <v>240</v>
      </c>
      <c r="D163" s="138"/>
      <c r="E163" s="138"/>
      <c r="F163" s="142">
        <f t="shared" si="35"/>
        <v>138002.37993999998</v>
      </c>
      <c r="G163" s="142">
        <f t="shared" si="35"/>
        <v>44218.5236</v>
      </c>
      <c r="H163" s="143">
        <f t="shared" si="35"/>
        <v>44218.5236</v>
      </c>
    </row>
    <row r="164" spans="1:8" s="55" customFormat="1" ht="15.75" x14ac:dyDescent="0.25">
      <c r="A164" s="146" t="s">
        <v>61</v>
      </c>
      <c r="B164" s="138" t="s">
        <v>265</v>
      </c>
      <c r="C164" s="145">
        <v>240</v>
      </c>
      <c r="D164" s="138" t="s">
        <v>57</v>
      </c>
      <c r="E164" s="138" t="s">
        <v>40</v>
      </c>
      <c r="F164" s="142">
        <f>пр.4!G197</f>
        <v>138002.37993999998</v>
      </c>
      <c r="G164" s="142">
        <f>пр.4!H197</f>
        <v>44218.5236</v>
      </c>
      <c r="H164" s="143">
        <f>пр.4!I197</f>
        <v>44218.5236</v>
      </c>
    </row>
    <row r="165" spans="1:8" s="55" customFormat="1" ht="25.5" x14ac:dyDescent="0.25">
      <c r="A165" s="137" t="s">
        <v>266</v>
      </c>
      <c r="B165" s="138" t="s">
        <v>267</v>
      </c>
      <c r="C165" s="147"/>
      <c r="D165" s="138"/>
      <c r="E165" s="138"/>
      <c r="F165" s="142">
        <f t="shared" ref="F165:H167" si="36">F166</f>
        <v>1925.4715600000002</v>
      </c>
      <c r="G165" s="142">
        <f t="shared" si="36"/>
        <v>0</v>
      </c>
      <c r="H165" s="143">
        <f t="shared" si="36"/>
        <v>0</v>
      </c>
    </row>
    <row r="166" spans="1:8" s="55" customFormat="1" ht="15.75" x14ac:dyDescent="0.25">
      <c r="A166" s="137" t="s">
        <v>31</v>
      </c>
      <c r="B166" s="138" t="s">
        <v>267</v>
      </c>
      <c r="C166" s="148">
        <v>200</v>
      </c>
      <c r="D166" s="138"/>
      <c r="E166" s="138"/>
      <c r="F166" s="142">
        <f t="shared" si="36"/>
        <v>1925.4715600000002</v>
      </c>
      <c r="G166" s="142">
        <f t="shared" si="36"/>
        <v>0</v>
      </c>
      <c r="H166" s="143">
        <f t="shared" si="36"/>
        <v>0</v>
      </c>
    </row>
    <row r="167" spans="1:8" s="55" customFormat="1" ht="15.75" x14ac:dyDescent="0.25">
      <c r="A167" s="146" t="s">
        <v>67</v>
      </c>
      <c r="B167" s="138" t="s">
        <v>267</v>
      </c>
      <c r="C167" s="148">
        <v>240</v>
      </c>
      <c r="D167" s="138"/>
      <c r="E167" s="138"/>
      <c r="F167" s="142">
        <f t="shared" si="36"/>
        <v>1925.4715600000002</v>
      </c>
      <c r="G167" s="142">
        <f t="shared" si="36"/>
        <v>0</v>
      </c>
      <c r="H167" s="143">
        <f t="shared" si="36"/>
        <v>0</v>
      </c>
    </row>
    <row r="168" spans="1:8" s="55" customFormat="1" ht="15.75" x14ac:dyDescent="0.25">
      <c r="A168" s="146" t="s">
        <v>61</v>
      </c>
      <c r="B168" s="138" t="s">
        <v>267</v>
      </c>
      <c r="C168" s="148">
        <v>240</v>
      </c>
      <c r="D168" s="138" t="s">
        <v>57</v>
      </c>
      <c r="E168" s="138" t="s">
        <v>40</v>
      </c>
      <c r="F168" s="142">
        <f>пр.4!G200</f>
        <v>1925.4715600000002</v>
      </c>
      <c r="G168" s="142">
        <f>пр.4!H200</f>
        <v>0</v>
      </c>
      <c r="H168" s="143">
        <f>пр.4!I200</f>
        <v>0</v>
      </c>
    </row>
    <row r="169" spans="1:8" s="55" customFormat="1" ht="15.75" x14ac:dyDescent="0.25">
      <c r="A169" s="324" t="s">
        <v>268</v>
      </c>
      <c r="B169" s="139" t="s">
        <v>270</v>
      </c>
      <c r="C169" s="326"/>
      <c r="D169" s="139"/>
      <c r="E169" s="139"/>
      <c r="F169" s="140">
        <f>F170</f>
        <v>2340</v>
      </c>
      <c r="G169" s="140">
        <f>G170</f>
        <v>1000</v>
      </c>
      <c r="H169" s="141">
        <f>H170</f>
        <v>1000</v>
      </c>
    </row>
    <row r="170" spans="1:8" s="55" customFormat="1" ht="15.75" x14ac:dyDescent="0.25">
      <c r="A170" s="137" t="s">
        <v>269</v>
      </c>
      <c r="B170" s="138" t="s">
        <v>271</v>
      </c>
      <c r="C170" s="147"/>
      <c r="D170" s="138"/>
      <c r="E170" s="138"/>
      <c r="F170" s="142">
        <f>F172</f>
        <v>2340</v>
      </c>
      <c r="G170" s="142">
        <f>G172</f>
        <v>1000</v>
      </c>
      <c r="H170" s="143">
        <f>H172</f>
        <v>1000</v>
      </c>
    </row>
    <row r="171" spans="1:8" s="55" customFormat="1" ht="15.75" x14ac:dyDescent="0.25">
      <c r="A171" s="137" t="s">
        <v>31</v>
      </c>
      <c r="B171" s="138" t="s">
        <v>271</v>
      </c>
      <c r="C171" s="148">
        <v>200</v>
      </c>
      <c r="D171" s="138"/>
      <c r="E171" s="138"/>
      <c r="F171" s="142">
        <f t="shared" ref="F171:H172" si="37">F172</f>
        <v>2340</v>
      </c>
      <c r="G171" s="142">
        <f t="shared" si="37"/>
        <v>1000</v>
      </c>
      <c r="H171" s="143">
        <f t="shared" si="37"/>
        <v>1000</v>
      </c>
    </row>
    <row r="172" spans="1:8" s="55" customFormat="1" ht="15.75" x14ac:dyDescent="0.25">
      <c r="A172" s="146" t="s">
        <v>67</v>
      </c>
      <c r="B172" s="138" t="s">
        <v>271</v>
      </c>
      <c r="C172" s="148">
        <v>240</v>
      </c>
      <c r="D172" s="138"/>
      <c r="E172" s="138"/>
      <c r="F172" s="142">
        <f t="shared" si="37"/>
        <v>2340</v>
      </c>
      <c r="G172" s="142">
        <f t="shared" si="37"/>
        <v>1000</v>
      </c>
      <c r="H172" s="143">
        <f t="shared" si="37"/>
        <v>1000</v>
      </c>
    </row>
    <row r="173" spans="1:8" s="55" customFormat="1" ht="16.5" thickBot="1" x14ac:dyDescent="0.3">
      <c r="A173" s="347" t="s">
        <v>61</v>
      </c>
      <c r="B173" s="149" t="s">
        <v>271</v>
      </c>
      <c r="C173" s="150">
        <v>240</v>
      </c>
      <c r="D173" s="149" t="s">
        <v>57</v>
      </c>
      <c r="E173" s="149" t="s">
        <v>40</v>
      </c>
      <c r="F173" s="151">
        <f>пр.4!G204</f>
        <v>2340</v>
      </c>
      <c r="G173" s="151">
        <f>пр.4!H204</f>
        <v>1000</v>
      </c>
      <c r="H173" s="152">
        <f>пр.4!I204</f>
        <v>1000</v>
      </c>
    </row>
    <row r="174" spans="1:8" s="55" customFormat="1" ht="26.25" thickBot="1" x14ac:dyDescent="0.3">
      <c r="A174" s="153" t="s">
        <v>379</v>
      </c>
      <c r="B174" s="59" t="s">
        <v>62</v>
      </c>
      <c r="C174" s="59"/>
      <c r="D174" s="67"/>
      <c r="E174" s="67"/>
      <c r="F174" s="68">
        <f>SUM(F175)</f>
        <v>100</v>
      </c>
      <c r="G174" s="68">
        <f>SUM(G175)</f>
        <v>100</v>
      </c>
      <c r="H174" s="69">
        <f>SUM(H175)</f>
        <v>100</v>
      </c>
    </row>
    <row r="175" spans="1:8" s="55" customFormat="1" ht="15.75" x14ac:dyDescent="0.25">
      <c r="A175" s="185" t="s">
        <v>232</v>
      </c>
      <c r="B175" s="186" t="s">
        <v>272</v>
      </c>
      <c r="C175" s="108"/>
      <c r="D175" s="311"/>
      <c r="E175" s="311"/>
      <c r="F175" s="110">
        <f>SUM(F177)</f>
        <v>100</v>
      </c>
      <c r="G175" s="110">
        <f>SUM(G177)</f>
        <v>100</v>
      </c>
      <c r="H175" s="111">
        <f>SUM(H177)</f>
        <v>100</v>
      </c>
    </row>
    <row r="176" spans="1:8" s="55" customFormat="1" ht="25.5" x14ac:dyDescent="0.25">
      <c r="A176" s="89" t="s">
        <v>380</v>
      </c>
      <c r="B176" s="112" t="s">
        <v>273</v>
      </c>
      <c r="C176" s="87"/>
      <c r="D176" s="88"/>
      <c r="E176" s="88"/>
      <c r="F176" s="73">
        <f t="shared" ref="F176:H179" si="38">F177</f>
        <v>100</v>
      </c>
      <c r="G176" s="73">
        <f t="shared" si="38"/>
        <v>100</v>
      </c>
      <c r="H176" s="74">
        <f t="shared" si="38"/>
        <v>100</v>
      </c>
    </row>
    <row r="177" spans="1:8" s="55" customFormat="1" ht="15.75" x14ac:dyDescent="0.25">
      <c r="A177" s="9" t="s">
        <v>63</v>
      </c>
      <c r="B177" s="5" t="s">
        <v>274</v>
      </c>
      <c r="C177" s="56"/>
      <c r="D177" s="76"/>
      <c r="E177" s="76"/>
      <c r="F177" s="3">
        <f t="shared" si="38"/>
        <v>100</v>
      </c>
      <c r="G177" s="3">
        <f t="shared" si="38"/>
        <v>100</v>
      </c>
      <c r="H177" s="77">
        <f t="shared" si="38"/>
        <v>100</v>
      </c>
    </row>
    <row r="178" spans="1:8" s="55" customFormat="1" ht="15.75" x14ac:dyDescent="0.25">
      <c r="A178" s="75" t="s">
        <v>31</v>
      </c>
      <c r="B178" s="5" t="s">
        <v>274</v>
      </c>
      <c r="C178" s="56">
        <v>200</v>
      </c>
      <c r="D178" s="76"/>
      <c r="E178" s="76"/>
      <c r="F178" s="3">
        <f t="shared" si="38"/>
        <v>100</v>
      </c>
      <c r="G178" s="3">
        <f t="shared" si="38"/>
        <v>100</v>
      </c>
      <c r="H178" s="77">
        <f t="shared" si="38"/>
        <v>100</v>
      </c>
    </row>
    <row r="179" spans="1:8" s="55" customFormat="1" ht="15.75" x14ac:dyDescent="0.25">
      <c r="A179" s="10" t="s">
        <v>67</v>
      </c>
      <c r="B179" s="5" t="s">
        <v>274</v>
      </c>
      <c r="C179" s="56">
        <v>240</v>
      </c>
      <c r="D179" s="76"/>
      <c r="E179" s="76"/>
      <c r="F179" s="3">
        <f t="shared" si="38"/>
        <v>100</v>
      </c>
      <c r="G179" s="3">
        <f t="shared" si="38"/>
        <v>100</v>
      </c>
      <c r="H179" s="77">
        <f t="shared" si="38"/>
        <v>100</v>
      </c>
    </row>
    <row r="180" spans="1:8" s="55" customFormat="1" ht="16.5" thickBot="1" x14ac:dyDescent="0.3">
      <c r="A180" s="338" t="s">
        <v>61</v>
      </c>
      <c r="B180" s="5" t="s">
        <v>274</v>
      </c>
      <c r="C180" s="56">
        <v>240</v>
      </c>
      <c r="D180" s="76" t="s">
        <v>57</v>
      </c>
      <c r="E180" s="76" t="s">
        <v>40</v>
      </c>
      <c r="F180" s="3">
        <f>пр.4!G210</f>
        <v>100</v>
      </c>
      <c r="G180" s="3">
        <f>пр.4!H210</f>
        <v>100</v>
      </c>
      <c r="H180" s="77">
        <f>пр.4!I210</f>
        <v>100</v>
      </c>
    </row>
    <row r="181" spans="1:8" s="55" customFormat="1" ht="39" thickBot="1" x14ac:dyDescent="0.3">
      <c r="A181" s="157" t="s">
        <v>381</v>
      </c>
      <c r="B181" s="158" t="s">
        <v>333</v>
      </c>
      <c r="C181" s="159"/>
      <c r="D181" s="160"/>
      <c r="E181" s="160"/>
      <c r="F181" s="68">
        <f>F182</f>
        <v>1700</v>
      </c>
      <c r="G181" s="68">
        <f t="shared" ref="F181:H182" si="39">G182</f>
        <v>80</v>
      </c>
      <c r="H181" s="69">
        <f t="shared" si="39"/>
        <v>80</v>
      </c>
    </row>
    <row r="182" spans="1:8" s="55" customFormat="1" ht="15.75" x14ac:dyDescent="0.25">
      <c r="A182" s="213" t="s">
        <v>232</v>
      </c>
      <c r="B182" s="214" t="s">
        <v>275</v>
      </c>
      <c r="C182" s="318"/>
      <c r="D182" s="319"/>
      <c r="E182" s="319"/>
      <c r="F182" s="71">
        <f t="shared" si="39"/>
        <v>1700</v>
      </c>
      <c r="G182" s="71">
        <f t="shared" si="39"/>
        <v>80</v>
      </c>
      <c r="H182" s="72">
        <f t="shared" si="39"/>
        <v>80</v>
      </c>
    </row>
    <row r="183" spans="1:8" s="55" customFormat="1" ht="15.75" x14ac:dyDescent="0.25">
      <c r="A183" s="89" t="s">
        <v>268</v>
      </c>
      <c r="B183" s="112" t="s">
        <v>276</v>
      </c>
      <c r="C183" s="87"/>
      <c r="D183" s="88"/>
      <c r="E183" s="88"/>
      <c r="F183" s="73">
        <f>F185</f>
        <v>1700</v>
      </c>
      <c r="G183" s="73">
        <f>G185</f>
        <v>80</v>
      </c>
      <c r="H183" s="74">
        <f>H185</f>
        <v>80</v>
      </c>
    </row>
    <row r="184" spans="1:8" s="55" customFormat="1" ht="15.75" x14ac:dyDescent="0.25">
      <c r="A184" s="89" t="s">
        <v>277</v>
      </c>
      <c r="B184" s="112" t="s">
        <v>278</v>
      </c>
      <c r="C184" s="56"/>
      <c r="D184" s="76"/>
      <c r="E184" s="76"/>
      <c r="F184" s="3">
        <f t="shared" ref="F184:H186" si="40">F185</f>
        <v>1700</v>
      </c>
      <c r="G184" s="3">
        <f t="shared" si="40"/>
        <v>80</v>
      </c>
      <c r="H184" s="77">
        <f t="shared" si="40"/>
        <v>80</v>
      </c>
    </row>
    <row r="185" spans="1:8" s="55" customFormat="1" ht="15.75" x14ac:dyDescent="0.25">
      <c r="A185" s="161" t="s">
        <v>31</v>
      </c>
      <c r="B185" s="5" t="s">
        <v>278</v>
      </c>
      <c r="C185" s="56">
        <v>200</v>
      </c>
      <c r="D185" s="76"/>
      <c r="E185" s="76"/>
      <c r="F185" s="3">
        <f t="shared" si="40"/>
        <v>1700</v>
      </c>
      <c r="G185" s="3">
        <f t="shared" si="40"/>
        <v>80</v>
      </c>
      <c r="H185" s="77">
        <f t="shared" si="40"/>
        <v>80</v>
      </c>
    </row>
    <row r="186" spans="1:8" s="55" customFormat="1" ht="15.75" x14ac:dyDescent="0.25">
      <c r="A186" s="117" t="s">
        <v>67</v>
      </c>
      <c r="B186" s="5" t="s">
        <v>278</v>
      </c>
      <c r="C186" s="56">
        <v>240</v>
      </c>
      <c r="D186" s="76"/>
      <c r="E186" s="76"/>
      <c r="F186" s="3">
        <f t="shared" si="40"/>
        <v>1700</v>
      </c>
      <c r="G186" s="3">
        <f t="shared" si="40"/>
        <v>80</v>
      </c>
      <c r="H186" s="77">
        <f t="shared" si="40"/>
        <v>80</v>
      </c>
    </row>
    <row r="187" spans="1:8" s="55" customFormat="1" ht="16.5" thickBot="1" x14ac:dyDescent="0.3">
      <c r="A187" s="162" t="s">
        <v>61</v>
      </c>
      <c r="B187" s="130" t="s">
        <v>278</v>
      </c>
      <c r="C187" s="57">
        <v>240</v>
      </c>
      <c r="D187" s="163" t="s">
        <v>57</v>
      </c>
      <c r="E187" s="163" t="s">
        <v>40</v>
      </c>
      <c r="F187" s="164">
        <f>пр.4!G216</f>
        <v>1700</v>
      </c>
      <c r="G187" s="164">
        <f>пр.4!H216</f>
        <v>80</v>
      </c>
      <c r="H187" s="165">
        <f>пр.4!I216</f>
        <v>80</v>
      </c>
    </row>
    <row r="188" spans="1:8" s="55" customFormat="1" ht="26.25" thickBot="1" x14ac:dyDescent="0.3">
      <c r="A188" s="157" t="s">
        <v>382</v>
      </c>
      <c r="B188" s="158" t="s">
        <v>334</v>
      </c>
      <c r="C188" s="159"/>
      <c r="D188" s="160"/>
      <c r="E188" s="160"/>
      <c r="F188" s="166">
        <f>F195+F189</f>
        <v>100</v>
      </c>
      <c r="G188" s="166">
        <f>G195+G189</f>
        <v>100</v>
      </c>
      <c r="H188" s="167">
        <f>H195+H189</f>
        <v>100</v>
      </c>
    </row>
    <row r="189" spans="1:8" s="55" customFormat="1" ht="15.75" x14ac:dyDescent="0.25">
      <c r="A189" s="327" t="s">
        <v>232</v>
      </c>
      <c r="B189" s="328" t="s">
        <v>298</v>
      </c>
      <c r="C189" s="329"/>
      <c r="D189" s="329"/>
      <c r="E189" s="329"/>
      <c r="F189" s="282">
        <f t="shared" ref="F189:H193" si="41">F190</f>
        <v>50</v>
      </c>
      <c r="G189" s="282">
        <f t="shared" si="41"/>
        <v>50</v>
      </c>
      <c r="H189" s="283">
        <f t="shared" si="41"/>
        <v>50</v>
      </c>
    </row>
    <row r="190" spans="1:8" s="55" customFormat="1" ht="15.75" x14ac:dyDescent="0.25">
      <c r="A190" s="168" t="s">
        <v>299</v>
      </c>
      <c r="B190" s="139" t="s">
        <v>300</v>
      </c>
      <c r="C190" s="104"/>
      <c r="D190" s="104"/>
      <c r="E190" s="104"/>
      <c r="F190" s="252">
        <f t="shared" si="41"/>
        <v>50</v>
      </c>
      <c r="G190" s="252">
        <f t="shared" si="41"/>
        <v>50</v>
      </c>
      <c r="H190" s="253">
        <f t="shared" si="41"/>
        <v>50</v>
      </c>
    </row>
    <row r="191" spans="1:8" s="55" customFormat="1" ht="15.75" x14ac:dyDescent="0.25">
      <c r="A191" s="137" t="s">
        <v>302</v>
      </c>
      <c r="B191" s="138" t="s">
        <v>301</v>
      </c>
      <c r="C191" s="1"/>
      <c r="D191" s="1"/>
      <c r="E191" s="1"/>
      <c r="F191" s="6">
        <f t="shared" si="41"/>
        <v>50</v>
      </c>
      <c r="G191" s="6">
        <f t="shared" si="41"/>
        <v>50</v>
      </c>
      <c r="H191" s="11">
        <f t="shared" si="41"/>
        <v>50</v>
      </c>
    </row>
    <row r="192" spans="1:8" s="55" customFormat="1" ht="15.75" x14ac:dyDescent="0.25">
      <c r="A192" s="161" t="s">
        <v>31</v>
      </c>
      <c r="B192" s="138" t="s">
        <v>301</v>
      </c>
      <c r="C192" s="1" t="s">
        <v>66</v>
      </c>
      <c r="D192" s="1"/>
      <c r="E192" s="1"/>
      <c r="F192" s="6">
        <f t="shared" si="41"/>
        <v>50</v>
      </c>
      <c r="G192" s="6">
        <f t="shared" si="41"/>
        <v>50</v>
      </c>
      <c r="H192" s="11">
        <f t="shared" si="41"/>
        <v>50</v>
      </c>
    </row>
    <row r="193" spans="1:8" s="55" customFormat="1" ht="15.75" x14ac:dyDescent="0.25">
      <c r="A193" s="117" t="s">
        <v>67</v>
      </c>
      <c r="B193" s="138" t="s">
        <v>301</v>
      </c>
      <c r="C193" s="1" t="s">
        <v>68</v>
      </c>
      <c r="D193" s="1"/>
      <c r="E193" s="1"/>
      <c r="F193" s="6">
        <f t="shared" si="41"/>
        <v>50</v>
      </c>
      <c r="G193" s="6">
        <f t="shared" si="41"/>
        <v>50</v>
      </c>
      <c r="H193" s="11">
        <f t="shared" si="41"/>
        <v>50</v>
      </c>
    </row>
    <row r="194" spans="1:8" s="55" customFormat="1" ht="15.75" x14ac:dyDescent="0.25">
      <c r="A194" s="117" t="s">
        <v>61</v>
      </c>
      <c r="B194" s="138" t="s">
        <v>301</v>
      </c>
      <c r="C194" s="1" t="s">
        <v>68</v>
      </c>
      <c r="D194" s="1" t="s">
        <v>57</v>
      </c>
      <c r="E194" s="1" t="s">
        <v>40</v>
      </c>
      <c r="F194" s="6">
        <f>пр.4!G222</f>
        <v>50</v>
      </c>
      <c r="G194" s="6">
        <f>пр.4!H222</f>
        <v>50</v>
      </c>
      <c r="H194" s="11">
        <f>пр.4!I222</f>
        <v>50</v>
      </c>
    </row>
    <row r="195" spans="1:8" s="55" customFormat="1" ht="15.75" x14ac:dyDescent="0.25">
      <c r="A195" s="193" t="s">
        <v>410</v>
      </c>
      <c r="B195" s="194" t="s">
        <v>321</v>
      </c>
      <c r="C195" s="113"/>
      <c r="D195" s="308"/>
      <c r="E195" s="308"/>
      <c r="F195" s="256">
        <f>F197</f>
        <v>50</v>
      </c>
      <c r="G195" s="256">
        <f>G197</f>
        <v>50</v>
      </c>
      <c r="H195" s="257">
        <f>H197</f>
        <v>50</v>
      </c>
    </row>
    <row r="196" spans="1:8" s="55" customFormat="1" ht="15.75" x14ac:dyDescent="0.25">
      <c r="A196" s="89" t="s">
        <v>320</v>
      </c>
      <c r="B196" s="112" t="s">
        <v>322</v>
      </c>
      <c r="C196" s="87"/>
      <c r="D196" s="88"/>
      <c r="E196" s="88"/>
      <c r="F196" s="252">
        <f t="shared" ref="F196:H199" si="42">F197</f>
        <v>50</v>
      </c>
      <c r="G196" s="252">
        <f t="shared" si="42"/>
        <v>50</v>
      </c>
      <c r="H196" s="253">
        <f t="shared" si="42"/>
        <v>50</v>
      </c>
    </row>
    <row r="197" spans="1:8" s="55" customFormat="1" ht="25.5" x14ac:dyDescent="0.25">
      <c r="A197" s="9" t="s">
        <v>383</v>
      </c>
      <c r="B197" s="5" t="s">
        <v>323</v>
      </c>
      <c r="C197" s="56"/>
      <c r="D197" s="76"/>
      <c r="E197" s="76"/>
      <c r="F197" s="6">
        <f t="shared" si="42"/>
        <v>50</v>
      </c>
      <c r="G197" s="6">
        <f t="shared" si="42"/>
        <v>50</v>
      </c>
      <c r="H197" s="11">
        <f t="shared" si="42"/>
        <v>50</v>
      </c>
    </row>
    <row r="198" spans="1:8" s="55" customFormat="1" ht="15.75" x14ac:dyDescent="0.25">
      <c r="A198" s="161" t="s">
        <v>31</v>
      </c>
      <c r="B198" s="85" t="s">
        <v>323</v>
      </c>
      <c r="C198" s="56">
        <v>200</v>
      </c>
      <c r="D198" s="76"/>
      <c r="E198" s="76"/>
      <c r="F198" s="6">
        <f t="shared" si="42"/>
        <v>50</v>
      </c>
      <c r="G198" s="6">
        <f t="shared" si="42"/>
        <v>50</v>
      </c>
      <c r="H198" s="11">
        <f t="shared" si="42"/>
        <v>50</v>
      </c>
    </row>
    <row r="199" spans="1:8" s="55" customFormat="1" ht="15.75" x14ac:dyDescent="0.25">
      <c r="A199" s="117" t="s">
        <v>67</v>
      </c>
      <c r="B199" s="85" t="s">
        <v>323</v>
      </c>
      <c r="C199" s="56">
        <v>240</v>
      </c>
      <c r="D199" s="76"/>
      <c r="E199" s="76"/>
      <c r="F199" s="6">
        <f t="shared" si="42"/>
        <v>50</v>
      </c>
      <c r="G199" s="6">
        <f t="shared" si="42"/>
        <v>50</v>
      </c>
      <c r="H199" s="11">
        <f t="shared" si="42"/>
        <v>50</v>
      </c>
    </row>
    <row r="200" spans="1:8" s="55" customFormat="1" ht="16.5" thickBot="1" x14ac:dyDescent="0.3">
      <c r="A200" s="162" t="s">
        <v>61</v>
      </c>
      <c r="B200" s="169" t="s">
        <v>323</v>
      </c>
      <c r="C200" s="57">
        <v>240</v>
      </c>
      <c r="D200" s="163" t="s">
        <v>57</v>
      </c>
      <c r="E200" s="163" t="s">
        <v>40</v>
      </c>
      <c r="F200" s="170">
        <f>пр.4!G227</f>
        <v>50</v>
      </c>
      <c r="G200" s="170">
        <f>пр.4!H227</f>
        <v>50</v>
      </c>
      <c r="H200" s="171">
        <f>пр.4!I227</f>
        <v>50</v>
      </c>
    </row>
    <row r="201" spans="1:8" s="55" customFormat="1" ht="26.25" thickBot="1" x14ac:dyDescent="0.3">
      <c r="A201" s="66" t="s">
        <v>384</v>
      </c>
      <c r="B201" s="172" t="s">
        <v>64</v>
      </c>
      <c r="C201" s="172"/>
      <c r="D201" s="172"/>
      <c r="E201" s="172"/>
      <c r="F201" s="68">
        <f t="shared" ref="F201:H202" si="43">F202</f>
        <v>21839.96038</v>
      </c>
      <c r="G201" s="68">
        <f t="shared" si="43"/>
        <v>1500</v>
      </c>
      <c r="H201" s="69">
        <f t="shared" si="43"/>
        <v>1000</v>
      </c>
    </row>
    <row r="202" spans="1:8" s="55" customFormat="1" ht="15.75" x14ac:dyDescent="0.25">
      <c r="A202" s="193" t="s">
        <v>422</v>
      </c>
      <c r="B202" s="194" t="s">
        <v>319</v>
      </c>
      <c r="C202" s="194"/>
      <c r="D202" s="194"/>
      <c r="E202" s="194"/>
      <c r="F202" s="100">
        <f t="shared" si="43"/>
        <v>21839.96038</v>
      </c>
      <c r="G202" s="100">
        <f t="shared" si="43"/>
        <v>1500</v>
      </c>
      <c r="H202" s="101">
        <f t="shared" si="43"/>
        <v>1000</v>
      </c>
    </row>
    <row r="203" spans="1:8" s="55" customFormat="1" ht="15.75" x14ac:dyDescent="0.25">
      <c r="A203" s="89" t="s">
        <v>318</v>
      </c>
      <c r="B203" s="112" t="s">
        <v>455</v>
      </c>
      <c r="C203" s="104"/>
      <c r="D203" s="104"/>
      <c r="E203" s="104"/>
      <c r="F203" s="73">
        <f>F205</f>
        <v>21839.96038</v>
      </c>
      <c r="G203" s="73">
        <f>G205</f>
        <v>1500</v>
      </c>
      <c r="H203" s="74">
        <f>H205</f>
        <v>1000</v>
      </c>
    </row>
    <row r="204" spans="1:8" s="55" customFormat="1" ht="15.75" x14ac:dyDescent="0.25">
      <c r="A204" s="9" t="s">
        <v>153</v>
      </c>
      <c r="B204" s="5" t="s">
        <v>456</v>
      </c>
      <c r="C204" s="1"/>
      <c r="D204" s="1"/>
      <c r="E204" s="1"/>
      <c r="F204" s="3">
        <f t="shared" ref="F204:H206" si="44">F205</f>
        <v>21839.96038</v>
      </c>
      <c r="G204" s="3">
        <f t="shared" si="44"/>
        <v>1500</v>
      </c>
      <c r="H204" s="77">
        <f t="shared" si="44"/>
        <v>1000</v>
      </c>
    </row>
    <row r="205" spans="1:8" s="55" customFormat="1" ht="15.75" x14ac:dyDescent="0.25">
      <c r="A205" s="156" t="s">
        <v>65</v>
      </c>
      <c r="B205" s="1" t="s">
        <v>456</v>
      </c>
      <c r="C205" s="1" t="s">
        <v>66</v>
      </c>
      <c r="D205" s="1"/>
      <c r="E205" s="1"/>
      <c r="F205" s="3">
        <f t="shared" si="44"/>
        <v>21839.96038</v>
      </c>
      <c r="G205" s="3">
        <f t="shared" si="44"/>
        <v>1500</v>
      </c>
      <c r="H205" s="77">
        <f t="shared" si="44"/>
        <v>1000</v>
      </c>
    </row>
    <row r="206" spans="1:8" s="55" customFormat="1" ht="15.75" x14ac:dyDescent="0.25">
      <c r="A206" s="117" t="s">
        <v>67</v>
      </c>
      <c r="B206" s="1" t="s">
        <v>456</v>
      </c>
      <c r="C206" s="5" t="s">
        <v>68</v>
      </c>
      <c r="D206" s="1"/>
      <c r="E206" s="1"/>
      <c r="F206" s="3">
        <f t="shared" si="44"/>
        <v>21839.96038</v>
      </c>
      <c r="G206" s="3">
        <f t="shared" si="44"/>
        <v>1500</v>
      </c>
      <c r="H206" s="77">
        <f t="shared" si="44"/>
        <v>1000</v>
      </c>
    </row>
    <row r="207" spans="1:8" s="55" customFormat="1" ht="16.5" thickBot="1" x14ac:dyDescent="0.3">
      <c r="A207" s="162" t="s">
        <v>61</v>
      </c>
      <c r="B207" s="163" t="s">
        <v>456</v>
      </c>
      <c r="C207" s="130" t="s">
        <v>68</v>
      </c>
      <c r="D207" s="163" t="s">
        <v>57</v>
      </c>
      <c r="E207" s="163" t="s">
        <v>40</v>
      </c>
      <c r="F207" s="164">
        <f>пр.4!G233</f>
        <v>21839.96038</v>
      </c>
      <c r="G207" s="164">
        <f>пр.4!H233</f>
        <v>1500</v>
      </c>
      <c r="H207" s="165">
        <f>пр.4!I233</f>
        <v>1000</v>
      </c>
    </row>
    <row r="208" spans="1:8" s="174" customFormat="1" ht="27" thickBot="1" x14ac:dyDescent="0.3">
      <c r="A208" s="173" t="s">
        <v>374</v>
      </c>
      <c r="B208" s="172" t="s">
        <v>290</v>
      </c>
      <c r="C208" s="59"/>
      <c r="D208" s="67"/>
      <c r="E208" s="67"/>
      <c r="F208" s="68">
        <f t="shared" ref="F208:H209" si="45">F209</f>
        <v>5</v>
      </c>
      <c r="G208" s="68">
        <f t="shared" si="45"/>
        <v>5</v>
      </c>
      <c r="H208" s="69">
        <f t="shared" si="45"/>
        <v>5</v>
      </c>
    </row>
    <row r="209" spans="1:8" s="55" customFormat="1" ht="15.75" x14ac:dyDescent="0.25">
      <c r="A209" s="330" t="s">
        <v>433</v>
      </c>
      <c r="B209" s="214" t="s">
        <v>291</v>
      </c>
      <c r="C209" s="318"/>
      <c r="D209" s="319"/>
      <c r="E209" s="319"/>
      <c r="F209" s="71">
        <f t="shared" si="45"/>
        <v>5</v>
      </c>
      <c r="G209" s="71">
        <f t="shared" si="45"/>
        <v>5</v>
      </c>
      <c r="H209" s="72">
        <f t="shared" si="45"/>
        <v>5</v>
      </c>
    </row>
    <row r="210" spans="1:8" s="55" customFormat="1" ht="26.25" x14ac:dyDescent="0.25">
      <c r="A210" s="279" t="s">
        <v>419</v>
      </c>
      <c r="B210" s="112" t="s">
        <v>292</v>
      </c>
      <c r="C210" s="87"/>
      <c r="D210" s="88"/>
      <c r="E210" s="88"/>
      <c r="F210" s="73">
        <f>F212</f>
        <v>5</v>
      </c>
      <c r="G210" s="73">
        <f>G212</f>
        <v>5</v>
      </c>
      <c r="H210" s="74">
        <f>H212</f>
        <v>5</v>
      </c>
    </row>
    <row r="211" spans="1:8" s="55" customFormat="1" ht="26.25" x14ac:dyDescent="0.25">
      <c r="A211" s="175" t="s">
        <v>294</v>
      </c>
      <c r="B211" s="5" t="s">
        <v>293</v>
      </c>
      <c r="C211" s="56"/>
      <c r="D211" s="76"/>
      <c r="E211" s="76"/>
      <c r="F211" s="3">
        <f t="shared" ref="F211:H213" si="46">F212</f>
        <v>5</v>
      </c>
      <c r="G211" s="3">
        <f t="shared" si="46"/>
        <v>5</v>
      </c>
      <c r="H211" s="77">
        <f t="shared" si="46"/>
        <v>5</v>
      </c>
    </row>
    <row r="212" spans="1:8" s="55" customFormat="1" ht="15.75" x14ac:dyDescent="0.25">
      <c r="A212" s="75" t="s">
        <v>31</v>
      </c>
      <c r="B212" s="5" t="s">
        <v>293</v>
      </c>
      <c r="C212" s="56">
        <v>200</v>
      </c>
      <c r="D212" s="76"/>
      <c r="E212" s="76"/>
      <c r="F212" s="3">
        <f t="shared" si="46"/>
        <v>5</v>
      </c>
      <c r="G212" s="3">
        <f t="shared" si="46"/>
        <v>5</v>
      </c>
      <c r="H212" s="77">
        <f t="shared" si="46"/>
        <v>5</v>
      </c>
    </row>
    <row r="213" spans="1:8" s="55" customFormat="1" ht="15.75" x14ac:dyDescent="0.25">
      <c r="A213" s="10" t="s">
        <v>67</v>
      </c>
      <c r="B213" s="5" t="s">
        <v>293</v>
      </c>
      <c r="C213" s="56">
        <v>240</v>
      </c>
      <c r="D213" s="76"/>
      <c r="E213" s="76"/>
      <c r="F213" s="3">
        <f t="shared" si="46"/>
        <v>5</v>
      </c>
      <c r="G213" s="3">
        <f t="shared" si="46"/>
        <v>5</v>
      </c>
      <c r="H213" s="77">
        <f t="shared" si="46"/>
        <v>5</v>
      </c>
    </row>
    <row r="214" spans="1:8" s="55" customFormat="1" ht="30" customHeight="1" thickBot="1" x14ac:dyDescent="0.3">
      <c r="A214" s="255" t="s">
        <v>295</v>
      </c>
      <c r="B214" s="130" t="s">
        <v>293</v>
      </c>
      <c r="C214" s="57">
        <v>240</v>
      </c>
      <c r="D214" s="131" t="s">
        <v>40</v>
      </c>
      <c r="E214" s="131" t="s">
        <v>118</v>
      </c>
      <c r="F214" s="164">
        <f>пр.4!G105</f>
        <v>5</v>
      </c>
      <c r="G214" s="164">
        <f>пр.4!H105</f>
        <v>5</v>
      </c>
      <c r="H214" s="165">
        <f>пр.4!I105</f>
        <v>5</v>
      </c>
    </row>
    <row r="215" spans="1:8" s="55" customFormat="1" ht="51.75" thickBot="1" x14ac:dyDescent="0.3">
      <c r="A215" s="66" t="s">
        <v>536</v>
      </c>
      <c r="B215" s="59" t="s">
        <v>364</v>
      </c>
      <c r="C215" s="59"/>
      <c r="D215" s="67"/>
      <c r="E215" s="67"/>
      <c r="F215" s="68">
        <f t="shared" ref="F215:F220" si="47">F216</f>
        <v>2364.0216</v>
      </c>
      <c r="G215" s="68">
        <f t="shared" ref="G215:H217" si="48">G216</f>
        <v>0</v>
      </c>
      <c r="H215" s="69">
        <f t="shared" si="48"/>
        <v>0</v>
      </c>
    </row>
    <row r="216" spans="1:8" s="55" customFormat="1" ht="15.75" x14ac:dyDescent="0.25">
      <c r="A216" s="331" t="s">
        <v>232</v>
      </c>
      <c r="B216" s="318" t="s">
        <v>365</v>
      </c>
      <c r="C216" s="318"/>
      <c r="D216" s="319"/>
      <c r="E216" s="319"/>
      <c r="F216" s="71">
        <f t="shared" si="47"/>
        <v>2364.0216</v>
      </c>
      <c r="G216" s="71">
        <f t="shared" si="48"/>
        <v>0</v>
      </c>
      <c r="H216" s="72">
        <f t="shared" si="48"/>
        <v>0</v>
      </c>
    </row>
    <row r="217" spans="1:8" s="55" customFormat="1" ht="15.75" x14ac:dyDescent="0.25">
      <c r="A217" s="154" t="s">
        <v>362</v>
      </c>
      <c r="B217" s="87" t="s">
        <v>366</v>
      </c>
      <c r="C217" s="87"/>
      <c r="D217" s="88"/>
      <c r="E217" s="88"/>
      <c r="F217" s="73">
        <f t="shared" si="47"/>
        <v>2364.0216</v>
      </c>
      <c r="G217" s="73">
        <f t="shared" si="48"/>
        <v>0</v>
      </c>
      <c r="H217" s="74">
        <f t="shared" si="48"/>
        <v>0</v>
      </c>
    </row>
    <row r="218" spans="1:8" s="55" customFormat="1" ht="25.5" x14ac:dyDescent="0.25">
      <c r="A218" s="155" t="s">
        <v>367</v>
      </c>
      <c r="B218" s="56" t="s">
        <v>363</v>
      </c>
      <c r="C218" s="56"/>
      <c r="D218" s="76"/>
      <c r="E218" s="76"/>
      <c r="F218" s="3">
        <f t="shared" si="47"/>
        <v>2364.0216</v>
      </c>
      <c r="G218" s="3">
        <v>0</v>
      </c>
      <c r="H218" s="77">
        <v>0</v>
      </c>
    </row>
    <row r="219" spans="1:8" s="55" customFormat="1" ht="15.75" x14ac:dyDescent="0.25">
      <c r="A219" s="75" t="s">
        <v>31</v>
      </c>
      <c r="B219" s="56" t="s">
        <v>363</v>
      </c>
      <c r="C219" s="56">
        <v>200</v>
      </c>
      <c r="D219" s="76"/>
      <c r="E219" s="76"/>
      <c r="F219" s="3">
        <f t="shared" si="47"/>
        <v>2364.0216</v>
      </c>
      <c r="G219" s="3">
        <f>G220</f>
        <v>0</v>
      </c>
      <c r="H219" s="77">
        <f>H220</f>
        <v>0</v>
      </c>
    </row>
    <row r="220" spans="1:8" s="55" customFormat="1" ht="15.75" x14ac:dyDescent="0.25">
      <c r="A220" s="10" t="s">
        <v>67</v>
      </c>
      <c r="B220" s="56" t="s">
        <v>363</v>
      </c>
      <c r="C220" s="56">
        <v>240</v>
      </c>
      <c r="D220" s="76"/>
      <c r="E220" s="76"/>
      <c r="F220" s="3">
        <f t="shared" si="47"/>
        <v>2364.0216</v>
      </c>
      <c r="G220" s="3">
        <f>G221</f>
        <v>0</v>
      </c>
      <c r="H220" s="77">
        <f>H221</f>
        <v>0</v>
      </c>
    </row>
    <row r="221" spans="1:8" s="55" customFormat="1" ht="16.5" thickBot="1" x14ac:dyDescent="0.3">
      <c r="A221" s="348" t="s">
        <v>61</v>
      </c>
      <c r="B221" s="57" t="s">
        <v>363</v>
      </c>
      <c r="C221" s="57">
        <v>240</v>
      </c>
      <c r="D221" s="131" t="s">
        <v>57</v>
      </c>
      <c r="E221" s="131" t="s">
        <v>40</v>
      </c>
      <c r="F221" s="164">
        <f>пр.4!G239</f>
        <v>2364.0216</v>
      </c>
      <c r="G221" s="164">
        <f>пр.4!H239</f>
        <v>0</v>
      </c>
      <c r="H221" s="165">
        <f>пр.4!I239</f>
        <v>0</v>
      </c>
    </row>
    <row r="222" spans="1:8" s="55" customFormat="1" ht="16.5" thickBot="1" x14ac:dyDescent="0.3">
      <c r="A222" s="176" t="s">
        <v>69</v>
      </c>
      <c r="B222" s="177"/>
      <c r="C222" s="177"/>
      <c r="D222" s="177"/>
      <c r="E222" s="178"/>
      <c r="F222" s="179">
        <f>F223+F273+F294</f>
        <v>99775.386709999992</v>
      </c>
      <c r="G222" s="179">
        <f>G223+G273+G294</f>
        <v>91459.451891999983</v>
      </c>
      <c r="H222" s="180">
        <f>H223+H273+H294</f>
        <v>93324.668974</v>
      </c>
    </row>
    <row r="223" spans="1:8" s="55" customFormat="1" ht="26.25" thickBot="1" x14ac:dyDescent="0.3">
      <c r="A223" s="181" t="s">
        <v>10</v>
      </c>
      <c r="B223" s="182" t="s">
        <v>11</v>
      </c>
      <c r="C223" s="182"/>
      <c r="D223" s="182"/>
      <c r="E223" s="182"/>
      <c r="F223" s="183">
        <f>F230+F267+F224</f>
        <v>74928.297579999984</v>
      </c>
      <c r="G223" s="183">
        <f>G230+G267+G224</f>
        <v>70888.099029999983</v>
      </c>
      <c r="H223" s="184">
        <f>H230+H267+H224</f>
        <v>71396.691029999987</v>
      </c>
    </row>
    <row r="224" spans="1:8" s="55" customFormat="1" ht="15.75" x14ac:dyDescent="0.25">
      <c r="A224" s="185" t="s">
        <v>149</v>
      </c>
      <c r="B224" s="186" t="s">
        <v>139</v>
      </c>
      <c r="C224" s="186"/>
      <c r="D224" s="186"/>
      <c r="E224" s="186"/>
      <c r="F224" s="187">
        <f t="shared" ref="F224:H226" si="49">F225</f>
        <v>4549.741</v>
      </c>
      <c r="G224" s="187">
        <f t="shared" si="49"/>
        <v>4549.741</v>
      </c>
      <c r="H224" s="188">
        <f t="shared" si="49"/>
        <v>4549.741</v>
      </c>
    </row>
    <row r="225" spans="1:8" s="55" customFormat="1" ht="15.75" x14ac:dyDescent="0.25">
      <c r="A225" s="89" t="s">
        <v>13</v>
      </c>
      <c r="B225" s="112" t="s">
        <v>140</v>
      </c>
      <c r="C225" s="112"/>
      <c r="D225" s="112"/>
      <c r="E225" s="112"/>
      <c r="F225" s="189">
        <f t="shared" si="49"/>
        <v>4549.741</v>
      </c>
      <c r="G225" s="189">
        <f t="shared" si="49"/>
        <v>4549.741</v>
      </c>
      <c r="H225" s="190">
        <f t="shared" si="49"/>
        <v>4549.741</v>
      </c>
    </row>
    <row r="226" spans="1:8" s="55" customFormat="1" ht="15.75" x14ac:dyDescent="0.25">
      <c r="A226" s="9" t="s">
        <v>149</v>
      </c>
      <c r="B226" s="5" t="s">
        <v>141</v>
      </c>
      <c r="C226" s="5"/>
      <c r="D226" s="5"/>
      <c r="E226" s="5"/>
      <c r="F226" s="191">
        <f>F227</f>
        <v>4549.741</v>
      </c>
      <c r="G226" s="191">
        <f t="shared" si="49"/>
        <v>4549.741</v>
      </c>
      <c r="H226" s="192">
        <f t="shared" si="49"/>
        <v>4549.741</v>
      </c>
    </row>
    <row r="227" spans="1:8" s="55" customFormat="1" ht="25.5" x14ac:dyDescent="0.25">
      <c r="A227" s="9" t="s">
        <v>27</v>
      </c>
      <c r="B227" s="5" t="s">
        <v>141</v>
      </c>
      <c r="C227" s="5" t="s">
        <v>72</v>
      </c>
      <c r="D227" s="5"/>
      <c r="E227" s="5"/>
      <c r="F227" s="191">
        <f t="shared" ref="F227:H228" si="50">F228</f>
        <v>4549.741</v>
      </c>
      <c r="G227" s="191">
        <f t="shared" si="50"/>
        <v>4549.741</v>
      </c>
      <c r="H227" s="192">
        <f t="shared" si="50"/>
        <v>4549.741</v>
      </c>
    </row>
    <row r="228" spans="1:8" s="55" customFormat="1" ht="15.75" x14ac:dyDescent="0.25">
      <c r="A228" s="10" t="s">
        <v>73</v>
      </c>
      <c r="B228" s="5" t="s">
        <v>141</v>
      </c>
      <c r="C228" s="5" t="s">
        <v>74</v>
      </c>
      <c r="D228" s="5"/>
      <c r="E228" s="5"/>
      <c r="F228" s="191">
        <f t="shared" si="50"/>
        <v>4549.741</v>
      </c>
      <c r="G228" s="191">
        <f t="shared" si="50"/>
        <v>4549.741</v>
      </c>
      <c r="H228" s="192">
        <f t="shared" si="50"/>
        <v>4549.741</v>
      </c>
    </row>
    <row r="229" spans="1:8" s="55" customFormat="1" ht="15.75" x14ac:dyDescent="0.25">
      <c r="A229" s="10" t="s">
        <v>148</v>
      </c>
      <c r="B229" s="5" t="s">
        <v>141</v>
      </c>
      <c r="C229" s="5" t="s">
        <v>74</v>
      </c>
      <c r="D229" s="5" t="s">
        <v>30</v>
      </c>
      <c r="E229" s="5" t="s">
        <v>58</v>
      </c>
      <c r="F229" s="191">
        <f>пр.4!G326</f>
        <v>4549.741</v>
      </c>
      <c r="G229" s="191">
        <f>пр.4!H326</f>
        <v>4549.741</v>
      </c>
      <c r="H229" s="192">
        <f>пр.4!I326</f>
        <v>4549.741</v>
      </c>
    </row>
    <row r="230" spans="1:8" s="55" customFormat="1" ht="27" x14ac:dyDescent="0.25">
      <c r="A230" s="193" t="s">
        <v>385</v>
      </c>
      <c r="B230" s="194" t="s">
        <v>12</v>
      </c>
      <c r="C230" s="194"/>
      <c r="D230" s="194"/>
      <c r="E230" s="194"/>
      <c r="F230" s="195">
        <f>F231</f>
        <v>67607.008709999995</v>
      </c>
      <c r="G230" s="195">
        <f>G231</f>
        <v>63566.810159999994</v>
      </c>
      <c r="H230" s="196">
        <f>H231</f>
        <v>64075.402159999998</v>
      </c>
    </row>
    <row r="231" spans="1:8" s="55" customFormat="1" ht="15.75" x14ac:dyDescent="0.25">
      <c r="A231" s="89" t="s">
        <v>13</v>
      </c>
      <c r="B231" s="112" t="s">
        <v>14</v>
      </c>
      <c r="C231" s="112"/>
      <c r="D231" s="112"/>
      <c r="E231" s="112"/>
      <c r="F231" s="189">
        <f>F232+F244+F248+F252+F256+F263</f>
        <v>67607.008709999995</v>
      </c>
      <c r="G231" s="189">
        <f>G232+G244+G248+G252+G256+G263</f>
        <v>63566.810159999994</v>
      </c>
      <c r="H231" s="190">
        <f>H232+H244+H248+H252+H256+H263</f>
        <v>64075.402159999998</v>
      </c>
    </row>
    <row r="232" spans="1:8" s="55" customFormat="1" ht="15.75" x14ac:dyDescent="0.25">
      <c r="A232" s="9" t="s">
        <v>70</v>
      </c>
      <c r="B232" s="5" t="s">
        <v>71</v>
      </c>
      <c r="C232" s="5"/>
      <c r="D232" s="5"/>
      <c r="E232" s="5"/>
      <c r="F232" s="191">
        <f>F233+F241+F237</f>
        <v>62267.824710000001</v>
      </c>
      <c r="G232" s="191">
        <f>G233+G241+G237</f>
        <v>60557.550159999999</v>
      </c>
      <c r="H232" s="192">
        <f>H233+H241+H237</f>
        <v>61066.142160000003</v>
      </c>
    </row>
    <row r="233" spans="1:8" s="55" customFormat="1" ht="25.5" x14ac:dyDescent="0.25">
      <c r="A233" s="9" t="s">
        <v>27</v>
      </c>
      <c r="B233" s="5" t="s">
        <v>71</v>
      </c>
      <c r="C233" s="5" t="s">
        <v>72</v>
      </c>
      <c r="D233" s="5"/>
      <c r="E233" s="5"/>
      <c r="F233" s="191">
        <f>F234</f>
        <v>51623.75056</v>
      </c>
      <c r="G233" s="191">
        <f>G234</f>
        <v>51623.75056</v>
      </c>
      <c r="H233" s="192">
        <f>H234</f>
        <v>51623.75056</v>
      </c>
    </row>
    <row r="234" spans="1:8" s="55" customFormat="1" ht="15.75" x14ac:dyDescent="0.25">
      <c r="A234" s="10" t="s">
        <v>73</v>
      </c>
      <c r="B234" s="5" t="s">
        <v>71</v>
      </c>
      <c r="C234" s="5" t="s">
        <v>74</v>
      </c>
      <c r="D234" s="5"/>
      <c r="E234" s="5"/>
      <c r="F234" s="191">
        <f>F235+F236</f>
        <v>51623.75056</v>
      </c>
      <c r="G234" s="191">
        <f>G235+G236</f>
        <v>51623.75056</v>
      </c>
      <c r="H234" s="192">
        <f>H235+H236</f>
        <v>51623.75056</v>
      </c>
    </row>
    <row r="235" spans="1:8" s="55" customFormat="1" ht="25.5" x14ac:dyDescent="0.25">
      <c r="A235" s="10" t="s">
        <v>405</v>
      </c>
      <c r="B235" s="5" t="s">
        <v>71</v>
      </c>
      <c r="C235" s="5" t="s">
        <v>74</v>
      </c>
      <c r="D235" s="5" t="s">
        <v>30</v>
      </c>
      <c r="E235" s="5" t="s">
        <v>40</v>
      </c>
      <c r="F235" s="191">
        <f>пр.4!G333</f>
        <v>1488.99845</v>
      </c>
      <c r="G235" s="191">
        <f>пр.4!H333</f>
        <v>1488.99845</v>
      </c>
      <c r="H235" s="192">
        <f>пр.4!I333</f>
        <v>1488.99845</v>
      </c>
    </row>
    <row r="236" spans="1:8" s="55" customFormat="1" ht="25.5" x14ac:dyDescent="0.25">
      <c r="A236" s="10" t="s">
        <v>331</v>
      </c>
      <c r="B236" s="5" t="s">
        <v>71</v>
      </c>
      <c r="C236" s="5" t="s">
        <v>74</v>
      </c>
      <c r="D236" s="5" t="s">
        <v>30</v>
      </c>
      <c r="E236" s="5" t="s">
        <v>36</v>
      </c>
      <c r="F236" s="191">
        <f>пр.4!G30</f>
        <v>50134.752110000001</v>
      </c>
      <c r="G236" s="191">
        <f>пр.4!H30</f>
        <v>50134.752110000001</v>
      </c>
      <c r="H236" s="192">
        <f>пр.4!I30</f>
        <v>50134.752110000001</v>
      </c>
    </row>
    <row r="237" spans="1:8" s="55" customFormat="1" ht="15.75" x14ac:dyDescent="0.25">
      <c r="A237" s="75" t="s">
        <v>31</v>
      </c>
      <c r="B237" s="5" t="s">
        <v>71</v>
      </c>
      <c r="C237" s="5" t="s">
        <v>66</v>
      </c>
      <c r="D237" s="5"/>
      <c r="E237" s="5"/>
      <c r="F237" s="191">
        <f>F238</f>
        <v>10152.274599999999</v>
      </c>
      <c r="G237" s="191">
        <f>G238</f>
        <v>8576.7995999999985</v>
      </c>
      <c r="H237" s="192">
        <f>H238</f>
        <v>9085.3916000000008</v>
      </c>
    </row>
    <row r="238" spans="1:8" s="55" customFormat="1" ht="15.75" x14ac:dyDescent="0.25">
      <c r="A238" s="10" t="s">
        <v>67</v>
      </c>
      <c r="B238" s="5" t="s">
        <v>71</v>
      </c>
      <c r="C238" s="5" t="s">
        <v>68</v>
      </c>
      <c r="D238" s="5"/>
      <c r="E238" s="5"/>
      <c r="F238" s="191">
        <f>F239+F240</f>
        <v>10152.274599999999</v>
      </c>
      <c r="G238" s="191">
        <f>G239+G240</f>
        <v>8576.7995999999985</v>
      </c>
      <c r="H238" s="192">
        <f>H239+H240</f>
        <v>9085.3916000000008</v>
      </c>
    </row>
    <row r="239" spans="1:8" s="55" customFormat="1" ht="25.5" x14ac:dyDescent="0.25">
      <c r="A239" s="10" t="s">
        <v>405</v>
      </c>
      <c r="B239" s="5" t="s">
        <v>71</v>
      </c>
      <c r="C239" s="5" t="s">
        <v>68</v>
      </c>
      <c r="D239" s="5" t="s">
        <v>30</v>
      </c>
      <c r="E239" s="5" t="s">
        <v>40</v>
      </c>
      <c r="F239" s="191">
        <f>пр.4!G335</f>
        <v>958.5</v>
      </c>
      <c r="G239" s="191">
        <f>пр.4!H335</f>
        <v>660</v>
      </c>
      <c r="H239" s="192">
        <f>пр.4!I335</f>
        <v>660</v>
      </c>
    </row>
    <row r="240" spans="1:8" s="55" customFormat="1" ht="25.5" x14ac:dyDescent="0.25">
      <c r="A240" s="10" t="s">
        <v>331</v>
      </c>
      <c r="B240" s="5" t="s">
        <v>71</v>
      </c>
      <c r="C240" s="5" t="s">
        <v>68</v>
      </c>
      <c r="D240" s="5" t="s">
        <v>30</v>
      </c>
      <c r="E240" s="5" t="s">
        <v>36</v>
      </c>
      <c r="F240" s="191">
        <f>пр.4!G32</f>
        <v>9193.7745999999988</v>
      </c>
      <c r="G240" s="191">
        <f>пр.4!H32</f>
        <v>7916.7995999999994</v>
      </c>
      <c r="H240" s="192">
        <f>пр.4!I32</f>
        <v>8425.3916000000008</v>
      </c>
    </row>
    <row r="241" spans="1:8" s="55" customFormat="1" ht="15.75" x14ac:dyDescent="0.25">
      <c r="A241" s="75" t="s">
        <v>33</v>
      </c>
      <c r="B241" s="5" t="s">
        <v>71</v>
      </c>
      <c r="C241" s="5" t="s">
        <v>75</v>
      </c>
      <c r="D241" s="5"/>
      <c r="E241" s="5"/>
      <c r="F241" s="191">
        <f t="shared" ref="F241:H242" si="51">F242</f>
        <v>491.79955000000001</v>
      </c>
      <c r="G241" s="191">
        <f t="shared" si="51"/>
        <v>357</v>
      </c>
      <c r="H241" s="192">
        <f t="shared" si="51"/>
        <v>357</v>
      </c>
    </row>
    <row r="242" spans="1:8" s="55" customFormat="1" ht="15.75" x14ac:dyDescent="0.25">
      <c r="A242" s="10" t="s">
        <v>76</v>
      </c>
      <c r="B242" s="5" t="s">
        <v>71</v>
      </c>
      <c r="C242" s="5" t="s">
        <v>77</v>
      </c>
      <c r="D242" s="5"/>
      <c r="E242" s="5"/>
      <c r="F242" s="191">
        <f t="shared" si="51"/>
        <v>491.79955000000001</v>
      </c>
      <c r="G242" s="191">
        <f t="shared" si="51"/>
        <v>357</v>
      </c>
      <c r="H242" s="192">
        <f t="shared" si="51"/>
        <v>357</v>
      </c>
    </row>
    <row r="243" spans="1:8" s="55" customFormat="1" ht="25.5" x14ac:dyDescent="0.25">
      <c r="A243" s="10" t="s">
        <v>331</v>
      </c>
      <c r="B243" s="5" t="s">
        <v>71</v>
      </c>
      <c r="C243" s="5" t="s">
        <v>77</v>
      </c>
      <c r="D243" s="5" t="s">
        <v>30</v>
      </c>
      <c r="E243" s="5" t="s">
        <v>36</v>
      </c>
      <c r="F243" s="191">
        <f>пр.4!G34</f>
        <v>491.79955000000001</v>
      </c>
      <c r="G243" s="191">
        <f>пр.4!H34</f>
        <v>357</v>
      </c>
      <c r="H243" s="192">
        <f>пр.4!I34</f>
        <v>357</v>
      </c>
    </row>
    <row r="244" spans="1:8" s="55" customFormat="1" ht="25.5" x14ac:dyDescent="0.25">
      <c r="A244" s="197" t="s">
        <v>17</v>
      </c>
      <c r="B244" s="5" t="s">
        <v>18</v>
      </c>
      <c r="C244" s="5"/>
      <c r="D244" s="5"/>
      <c r="E244" s="5"/>
      <c r="F244" s="191">
        <f>F246</f>
        <v>147.52000000000001</v>
      </c>
      <c r="G244" s="191">
        <f>G246</f>
        <v>0</v>
      </c>
      <c r="H244" s="192">
        <f>H246</f>
        <v>0</v>
      </c>
    </row>
    <row r="245" spans="1:8" s="55" customFormat="1" ht="15.75" x14ac:dyDescent="0.25">
      <c r="A245" s="198" t="s">
        <v>123</v>
      </c>
      <c r="B245" s="5" t="s">
        <v>18</v>
      </c>
      <c r="C245" s="5" t="s">
        <v>78</v>
      </c>
      <c r="D245" s="5"/>
      <c r="E245" s="5"/>
      <c r="F245" s="191">
        <f t="shared" ref="F245:H246" si="52">F246</f>
        <v>147.52000000000001</v>
      </c>
      <c r="G245" s="191">
        <f t="shared" si="52"/>
        <v>0</v>
      </c>
      <c r="H245" s="192">
        <f t="shared" si="52"/>
        <v>0</v>
      </c>
    </row>
    <row r="246" spans="1:8" s="55" customFormat="1" ht="15.75" x14ac:dyDescent="0.25">
      <c r="A246" s="10" t="s">
        <v>79</v>
      </c>
      <c r="B246" s="5" t="s">
        <v>18</v>
      </c>
      <c r="C246" s="5" t="s">
        <v>4</v>
      </c>
      <c r="D246" s="5"/>
      <c r="E246" s="5"/>
      <c r="F246" s="191">
        <f t="shared" si="52"/>
        <v>147.52000000000001</v>
      </c>
      <c r="G246" s="191">
        <f t="shared" si="52"/>
        <v>0</v>
      </c>
      <c r="H246" s="192">
        <f t="shared" si="52"/>
        <v>0</v>
      </c>
    </row>
    <row r="247" spans="1:8" s="55" customFormat="1" ht="25.5" x14ac:dyDescent="0.25">
      <c r="A247" s="10" t="s">
        <v>331</v>
      </c>
      <c r="B247" s="5" t="s">
        <v>18</v>
      </c>
      <c r="C247" s="5" t="s">
        <v>4</v>
      </c>
      <c r="D247" s="5" t="s">
        <v>30</v>
      </c>
      <c r="E247" s="5" t="s">
        <v>36</v>
      </c>
      <c r="F247" s="191">
        <f>пр.4!G40</f>
        <v>147.52000000000001</v>
      </c>
      <c r="G247" s="191">
        <f>пр.4!H40</f>
        <v>0</v>
      </c>
      <c r="H247" s="192">
        <f>пр.4!I40</f>
        <v>0</v>
      </c>
    </row>
    <row r="248" spans="1:8" s="55" customFormat="1" ht="25.5" x14ac:dyDescent="0.25">
      <c r="A248" s="197" t="s">
        <v>80</v>
      </c>
      <c r="B248" s="5" t="s">
        <v>15</v>
      </c>
      <c r="C248" s="5"/>
      <c r="D248" s="5"/>
      <c r="E248" s="5"/>
      <c r="F248" s="191">
        <f>F250</f>
        <v>762.7</v>
      </c>
      <c r="G248" s="191">
        <f>G250</f>
        <v>0</v>
      </c>
      <c r="H248" s="192">
        <f>H250</f>
        <v>0</v>
      </c>
    </row>
    <row r="249" spans="1:8" s="55" customFormat="1" ht="15.75" x14ac:dyDescent="0.25">
      <c r="A249" s="198" t="s">
        <v>123</v>
      </c>
      <c r="B249" s="5" t="s">
        <v>15</v>
      </c>
      <c r="C249" s="5" t="s">
        <v>78</v>
      </c>
      <c r="D249" s="5"/>
      <c r="E249" s="5"/>
      <c r="F249" s="191">
        <f t="shared" ref="F249:H250" si="53">F250</f>
        <v>762.7</v>
      </c>
      <c r="G249" s="191">
        <f t="shared" si="53"/>
        <v>0</v>
      </c>
      <c r="H249" s="192">
        <f t="shared" si="53"/>
        <v>0</v>
      </c>
    </row>
    <row r="250" spans="1:8" s="55" customFormat="1" ht="15.75" x14ac:dyDescent="0.25">
      <c r="A250" s="10" t="s">
        <v>79</v>
      </c>
      <c r="B250" s="5" t="s">
        <v>15</v>
      </c>
      <c r="C250" s="5" t="s">
        <v>4</v>
      </c>
      <c r="D250" s="5"/>
      <c r="E250" s="5"/>
      <c r="F250" s="191">
        <f t="shared" si="53"/>
        <v>762.7</v>
      </c>
      <c r="G250" s="191">
        <f t="shared" si="53"/>
        <v>0</v>
      </c>
      <c r="H250" s="192">
        <f t="shared" si="53"/>
        <v>0</v>
      </c>
    </row>
    <row r="251" spans="1:8" s="55" customFormat="1" ht="25.5" x14ac:dyDescent="0.25">
      <c r="A251" s="10" t="s">
        <v>331</v>
      </c>
      <c r="B251" s="5" t="s">
        <v>15</v>
      </c>
      <c r="C251" s="5" t="s">
        <v>4</v>
      </c>
      <c r="D251" s="5" t="s">
        <v>30</v>
      </c>
      <c r="E251" s="5" t="s">
        <v>36</v>
      </c>
      <c r="F251" s="191">
        <f>пр.4!G37</f>
        <v>762.7</v>
      </c>
      <c r="G251" s="191">
        <f>пр.4!H37</f>
        <v>0</v>
      </c>
      <c r="H251" s="192">
        <f>пр.4!I37</f>
        <v>0</v>
      </c>
    </row>
    <row r="252" spans="1:8" s="55" customFormat="1" ht="25.5" x14ac:dyDescent="0.25">
      <c r="A252" s="197" t="s">
        <v>7</v>
      </c>
      <c r="B252" s="5" t="s">
        <v>16</v>
      </c>
      <c r="C252" s="5"/>
      <c r="D252" s="5"/>
      <c r="E252" s="5"/>
      <c r="F252" s="191">
        <f>F254</f>
        <v>1419.704</v>
      </c>
      <c r="G252" s="191">
        <f>G254</f>
        <v>0</v>
      </c>
      <c r="H252" s="192">
        <f>H254</f>
        <v>0</v>
      </c>
    </row>
    <row r="253" spans="1:8" s="55" customFormat="1" ht="15.75" x14ac:dyDescent="0.25">
      <c r="A253" s="198" t="s">
        <v>123</v>
      </c>
      <c r="B253" s="5" t="s">
        <v>16</v>
      </c>
      <c r="C253" s="5" t="s">
        <v>78</v>
      </c>
      <c r="D253" s="5"/>
      <c r="E253" s="5"/>
      <c r="F253" s="191">
        <f t="shared" ref="F253:H254" si="54">F254</f>
        <v>1419.704</v>
      </c>
      <c r="G253" s="191">
        <f t="shared" si="54"/>
        <v>0</v>
      </c>
      <c r="H253" s="192">
        <f t="shared" si="54"/>
        <v>0</v>
      </c>
    </row>
    <row r="254" spans="1:8" s="55" customFormat="1" ht="15.75" x14ac:dyDescent="0.25">
      <c r="A254" s="10" t="s">
        <v>79</v>
      </c>
      <c r="B254" s="5" t="s">
        <v>16</v>
      </c>
      <c r="C254" s="5" t="s">
        <v>4</v>
      </c>
      <c r="D254" s="5"/>
      <c r="E254" s="5"/>
      <c r="F254" s="191">
        <f t="shared" si="54"/>
        <v>1419.704</v>
      </c>
      <c r="G254" s="191">
        <f t="shared" si="54"/>
        <v>0</v>
      </c>
      <c r="H254" s="192">
        <f t="shared" si="54"/>
        <v>0</v>
      </c>
    </row>
    <row r="255" spans="1:8" s="55" customFormat="1" ht="25.5" x14ac:dyDescent="0.25">
      <c r="A255" s="349" t="s">
        <v>6</v>
      </c>
      <c r="B255" s="5" t="s">
        <v>16</v>
      </c>
      <c r="C255" s="5" t="s">
        <v>4</v>
      </c>
      <c r="D255" s="5" t="s">
        <v>30</v>
      </c>
      <c r="E255" s="5" t="s">
        <v>81</v>
      </c>
      <c r="F255" s="191">
        <f>пр.4!G52</f>
        <v>1419.704</v>
      </c>
      <c r="G255" s="191">
        <f>пр.4!H52</f>
        <v>0</v>
      </c>
      <c r="H255" s="192">
        <f>пр.4!I52</f>
        <v>0</v>
      </c>
    </row>
    <row r="256" spans="1:8" s="202" customFormat="1" ht="25.5" x14ac:dyDescent="0.2">
      <c r="A256" s="199" t="s">
        <v>420</v>
      </c>
      <c r="B256" s="79" t="s">
        <v>143</v>
      </c>
      <c r="C256" s="79"/>
      <c r="D256" s="5"/>
      <c r="E256" s="5"/>
      <c r="F256" s="200">
        <f>F257+F260</f>
        <v>2998.7000000000003</v>
      </c>
      <c r="G256" s="200">
        <f>G257+G260</f>
        <v>2998.7000000000003</v>
      </c>
      <c r="H256" s="201">
        <f>H257+H260</f>
        <v>2998.7000000000003</v>
      </c>
    </row>
    <row r="257" spans="1:8" s="202" customFormat="1" ht="25.5" x14ac:dyDescent="0.2">
      <c r="A257" s="203" t="s">
        <v>27</v>
      </c>
      <c r="B257" s="79" t="s">
        <v>143</v>
      </c>
      <c r="C257" s="79" t="s">
        <v>72</v>
      </c>
      <c r="D257" s="5"/>
      <c r="E257" s="5"/>
      <c r="F257" s="200">
        <f t="shared" ref="F257:H258" si="55">F258</f>
        <v>2918.6680000000001</v>
      </c>
      <c r="G257" s="200">
        <f t="shared" si="55"/>
        <v>2918.6680000000001</v>
      </c>
      <c r="H257" s="201">
        <f t="shared" si="55"/>
        <v>2918.6680000000001</v>
      </c>
    </row>
    <row r="258" spans="1:8" s="202" customFormat="1" x14ac:dyDescent="0.2">
      <c r="A258" s="10" t="s">
        <v>73</v>
      </c>
      <c r="B258" s="79" t="s">
        <v>143</v>
      </c>
      <c r="C258" s="79" t="s">
        <v>74</v>
      </c>
      <c r="D258" s="5"/>
      <c r="E258" s="5"/>
      <c r="F258" s="200">
        <f t="shared" si="55"/>
        <v>2918.6680000000001</v>
      </c>
      <c r="G258" s="200">
        <f t="shared" si="55"/>
        <v>2918.6680000000001</v>
      </c>
      <c r="H258" s="201">
        <f t="shared" si="55"/>
        <v>2918.6680000000001</v>
      </c>
    </row>
    <row r="259" spans="1:8" s="202" customFormat="1" x14ac:dyDescent="0.2">
      <c r="A259" s="350" t="s">
        <v>144</v>
      </c>
      <c r="B259" s="79" t="s">
        <v>143</v>
      </c>
      <c r="C259" s="79" t="s">
        <v>74</v>
      </c>
      <c r="D259" s="5" t="s">
        <v>40</v>
      </c>
      <c r="E259" s="5" t="s">
        <v>145</v>
      </c>
      <c r="F259" s="200">
        <f>пр.4!G118</f>
        <v>2918.6680000000001</v>
      </c>
      <c r="G259" s="200">
        <f>пр.4!H118</f>
        <v>2918.6680000000001</v>
      </c>
      <c r="H259" s="201">
        <f>пр.4!I118</f>
        <v>2918.6680000000001</v>
      </c>
    </row>
    <row r="260" spans="1:8" s="202" customFormat="1" x14ac:dyDescent="0.2">
      <c r="A260" s="82" t="s">
        <v>31</v>
      </c>
      <c r="B260" s="79" t="s">
        <v>143</v>
      </c>
      <c r="C260" s="79" t="s">
        <v>66</v>
      </c>
      <c r="D260" s="5"/>
      <c r="E260" s="5"/>
      <c r="F260" s="200">
        <f t="shared" ref="F260:H261" si="56">F261</f>
        <v>80.031999999999996</v>
      </c>
      <c r="G260" s="200">
        <f t="shared" si="56"/>
        <v>80.031999999999996</v>
      </c>
      <c r="H260" s="201">
        <f t="shared" si="56"/>
        <v>80.031999999999996</v>
      </c>
    </row>
    <row r="261" spans="1:8" s="202" customFormat="1" x14ac:dyDescent="0.2">
      <c r="A261" s="10" t="s">
        <v>67</v>
      </c>
      <c r="B261" s="79" t="s">
        <v>143</v>
      </c>
      <c r="C261" s="79" t="s">
        <v>68</v>
      </c>
      <c r="D261" s="5"/>
      <c r="E261" s="5"/>
      <c r="F261" s="200">
        <f t="shared" si="56"/>
        <v>80.031999999999996</v>
      </c>
      <c r="G261" s="200">
        <f t="shared" si="56"/>
        <v>80.031999999999996</v>
      </c>
      <c r="H261" s="201">
        <f t="shared" si="56"/>
        <v>80.031999999999996</v>
      </c>
    </row>
    <row r="262" spans="1:8" s="202" customFormat="1" x14ac:dyDescent="0.2">
      <c r="A262" s="350" t="s">
        <v>144</v>
      </c>
      <c r="B262" s="79" t="s">
        <v>143</v>
      </c>
      <c r="C262" s="79" t="s">
        <v>68</v>
      </c>
      <c r="D262" s="5" t="s">
        <v>40</v>
      </c>
      <c r="E262" s="5" t="s">
        <v>145</v>
      </c>
      <c r="F262" s="200">
        <f>пр.4!G120</f>
        <v>80.031999999999996</v>
      </c>
      <c r="G262" s="200">
        <f>пр.4!H120</f>
        <v>80.031999999999996</v>
      </c>
      <c r="H262" s="201">
        <f>пр.4!I120</f>
        <v>80.031999999999996</v>
      </c>
    </row>
    <row r="263" spans="1:8" s="202" customFormat="1" ht="25.5" x14ac:dyDescent="0.2">
      <c r="A263" s="197" t="s">
        <v>146</v>
      </c>
      <c r="B263" s="5" t="s">
        <v>147</v>
      </c>
      <c r="C263" s="5"/>
      <c r="D263" s="5"/>
      <c r="E263" s="5"/>
      <c r="F263" s="191">
        <f>F265</f>
        <v>10.559999999999999</v>
      </c>
      <c r="G263" s="191">
        <f>G265</f>
        <v>10.56</v>
      </c>
      <c r="H263" s="192">
        <f>H265</f>
        <v>10.56</v>
      </c>
    </row>
    <row r="264" spans="1:8" s="202" customFormat="1" x14ac:dyDescent="0.2">
      <c r="A264" s="82" t="s">
        <v>31</v>
      </c>
      <c r="B264" s="5" t="s">
        <v>147</v>
      </c>
      <c r="C264" s="79" t="s">
        <v>66</v>
      </c>
      <c r="D264" s="5"/>
      <c r="E264" s="5"/>
      <c r="F264" s="191">
        <f t="shared" ref="F264:H265" si="57">F265</f>
        <v>10.559999999999999</v>
      </c>
      <c r="G264" s="191">
        <f t="shared" si="57"/>
        <v>10.56</v>
      </c>
      <c r="H264" s="192">
        <f t="shared" si="57"/>
        <v>10.56</v>
      </c>
    </row>
    <row r="265" spans="1:8" s="202" customFormat="1" x14ac:dyDescent="0.2">
      <c r="A265" s="10" t="s">
        <v>67</v>
      </c>
      <c r="B265" s="5" t="s">
        <v>147</v>
      </c>
      <c r="C265" s="79" t="s">
        <v>68</v>
      </c>
      <c r="D265" s="5"/>
      <c r="E265" s="5"/>
      <c r="F265" s="191">
        <f t="shared" si="57"/>
        <v>10.559999999999999</v>
      </c>
      <c r="G265" s="191">
        <f t="shared" si="57"/>
        <v>10.56</v>
      </c>
      <c r="H265" s="192">
        <f t="shared" si="57"/>
        <v>10.56</v>
      </c>
    </row>
    <row r="266" spans="1:8" s="202" customFormat="1" x14ac:dyDescent="0.2">
      <c r="A266" s="350" t="s">
        <v>144</v>
      </c>
      <c r="B266" s="5" t="s">
        <v>147</v>
      </c>
      <c r="C266" s="79" t="s">
        <v>68</v>
      </c>
      <c r="D266" s="5" t="s">
        <v>40</v>
      </c>
      <c r="E266" s="5" t="s">
        <v>145</v>
      </c>
      <c r="F266" s="191">
        <f>пр.4!G123</f>
        <v>10.559999999999999</v>
      </c>
      <c r="G266" s="191">
        <f>пр.4!H123</f>
        <v>10.56</v>
      </c>
      <c r="H266" s="192">
        <f>пр.4!I123</f>
        <v>10.56</v>
      </c>
    </row>
    <row r="267" spans="1:8" s="55" customFormat="1" ht="40.5" x14ac:dyDescent="0.25">
      <c r="A267" s="193" t="s">
        <v>432</v>
      </c>
      <c r="B267" s="194" t="s">
        <v>82</v>
      </c>
      <c r="C267" s="194"/>
      <c r="D267" s="194"/>
      <c r="E267" s="194"/>
      <c r="F267" s="204">
        <f t="shared" ref="F267:H268" si="58">SUM(F268)</f>
        <v>2771.5478699999999</v>
      </c>
      <c r="G267" s="204">
        <f t="shared" si="58"/>
        <v>2771.5478699999999</v>
      </c>
      <c r="H267" s="205">
        <f t="shared" si="58"/>
        <v>2771.5478699999999</v>
      </c>
    </row>
    <row r="268" spans="1:8" s="55" customFormat="1" ht="15.75" x14ac:dyDescent="0.25">
      <c r="A268" s="89" t="s">
        <v>13</v>
      </c>
      <c r="B268" s="112" t="s">
        <v>83</v>
      </c>
      <c r="C268" s="112"/>
      <c r="D268" s="112"/>
      <c r="E268" s="112"/>
      <c r="F268" s="206">
        <f t="shared" si="58"/>
        <v>2771.5478699999999</v>
      </c>
      <c r="G268" s="206">
        <f t="shared" si="58"/>
        <v>2771.5478699999999</v>
      </c>
      <c r="H268" s="207">
        <f t="shared" si="58"/>
        <v>2771.5478699999999</v>
      </c>
    </row>
    <row r="269" spans="1:8" s="55" customFormat="1" ht="25.5" x14ac:dyDescent="0.25">
      <c r="A269" s="9" t="s">
        <v>84</v>
      </c>
      <c r="B269" s="5" t="s">
        <v>85</v>
      </c>
      <c r="C269" s="5"/>
      <c r="D269" s="5"/>
      <c r="E269" s="5"/>
      <c r="F269" s="200">
        <f t="shared" ref="F269:H271" si="59">F270</f>
        <v>2771.5478699999999</v>
      </c>
      <c r="G269" s="200">
        <f t="shared" si="59"/>
        <v>2771.5478699999999</v>
      </c>
      <c r="H269" s="201">
        <f t="shared" si="59"/>
        <v>2771.5478699999999</v>
      </c>
    </row>
    <row r="270" spans="1:8" s="55" customFormat="1" ht="25.5" x14ac:dyDescent="0.25">
      <c r="A270" s="203" t="s">
        <v>27</v>
      </c>
      <c r="B270" s="5" t="s">
        <v>85</v>
      </c>
      <c r="C270" s="5" t="s">
        <v>72</v>
      </c>
      <c r="D270" s="5"/>
      <c r="E270" s="5"/>
      <c r="F270" s="200">
        <f t="shared" si="59"/>
        <v>2771.5478699999999</v>
      </c>
      <c r="G270" s="200">
        <f t="shared" si="59"/>
        <v>2771.5478699999999</v>
      </c>
      <c r="H270" s="201">
        <f t="shared" si="59"/>
        <v>2771.5478699999999</v>
      </c>
    </row>
    <row r="271" spans="1:8" s="55" customFormat="1" ht="15.75" x14ac:dyDescent="0.25">
      <c r="A271" s="10" t="s">
        <v>73</v>
      </c>
      <c r="B271" s="5" t="s">
        <v>85</v>
      </c>
      <c r="C271" s="5" t="s">
        <v>74</v>
      </c>
      <c r="D271" s="5"/>
      <c r="E271" s="5"/>
      <c r="F271" s="200">
        <f t="shared" si="59"/>
        <v>2771.5478699999999</v>
      </c>
      <c r="G271" s="200">
        <f t="shared" si="59"/>
        <v>2771.5478699999999</v>
      </c>
      <c r="H271" s="201">
        <f t="shared" si="59"/>
        <v>2771.5478699999999</v>
      </c>
    </row>
    <row r="272" spans="1:8" s="55" customFormat="1" ht="26.25" thickBot="1" x14ac:dyDescent="0.3">
      <c r="A272" s="351" t="s">
        <v>331</v>
      </c>
      <c r="B272" s="130" t="s">
        <v>85</v>
      </c>
      <c r="C272" s="130" t="s">
        <v>74</v>
      </c>
      <c r="D272" s="130" t="s">
        <v>30</v>
      </c>
      <c r="E272" s="130" t="s">
        <v>36</v>
      </c>
      <c r="F272" s="208">
        <f>пр.4!G45</f>
        <v>2771.5478699999999</v>
      </c>
      <c r="G272" s="208">
        <f>пр.4!H45</f>
        <v>2771.5478699999999</v>
      </c>
      <c r="H272" s="209">
        <f>пр.4!I45</f>
        <v>2771.5478699999999</v>
      </c>
    </row>
    <row r="273" spans="1:8" s="55" customFormat="1" ht="16.5" thickBot="1" x14ac:dyDescent="0.3">
      <c r="A273" s="153" t="s">
        <v>86</v>
      </c>
      <c r="B273" s="172" t="s">
        <v>87</v>
      </c>
      <c r="C273" s="172"/>
      <c r="D273" s="210"/>
      <c r="E273" s="210"/>
      <c r="F273" s="211">
        <f t="shared" ref="F273:H274" si="60">SUM(F274)</f>
        <v>7178.4685099999997</v>
      </c>
      <c r="G273" s="211">
        <f t="shared" si="60"/>
        <v>5383.8494999999994</v>
      </c>
      <c r="H273" s="212">
        <f t="shared" si="60"/>
        <v>5832.3705</v>
      </c>
    </row>
    <row r="274" spans="1:8" s="55" customFormat="1" ht="15.75" x14ac:dyDescent="0.25">
      <c r="A274" s="213" t="s">
        <v>13</v>
      </c>
      <c r="B274" s="214" t="s">
        <v>88</v>
      </c>
      <c r="C274" s="214"/>
      <c r="D274" s="214"/>
      <c r="E274" s="214"/>
      <c r="F274" s="215">
        <f>SUM(F275)</f>
        <v>7178.4685099999997</v>
      </c>
      <c r="G274" s="215">
        <f t="shared" si="60"/>
        <v>5383.8494999999994</v>
      </c>
      <c r="H274" s="216">
        <f t="shared" si="60"/>
        <v>5832.3705</v>
      </c>
    </row>
    <row r="275" spans="1:8" s="55" customFormat="1" ht="15.75" x14ac:dyDescent="0.25">
      <c r="A275" s="89" t="s">
        <v>13</v>
      </c>
      <c r="B275" s="112" t="s">
        <v>89</v>
      </c>
      <c r="C275" s="112"/>
      <c r="D275" s="112"/>
      <c r="E275" s="112"/>
      <c r="F275" s="189">
        <f>SUM(F276)+F290</f>
        <v>7178.4685099999997</v>
      </c>
      <c r="G275" s="189">
        <f>SUM(G276)+G290</f>
        <v>5383.8494999999994</v>
      </c>
      <c r="H275" s="190">
        <f>SUM(H276)+H290</f>
        <v>5832.3705</v>
      </c>
    </row>
    <row r="276" spans="1:8" s="55" customFormat="1" ht="15.75" x14ac:dyDescent="0.25">
      <c r="A276" s="217" t="s">
        <v>90</v>
      </c>
      <c r="B276" s="5" t="s">
        <v>91</v>
      </c>
      <c r="C276" s="5"/>
      <c r="D276" s="5"/>
      <c r="E276" s="5"/>
      <c r="F276" s="191">
        <f>F277+F280+F285</f>
        <v>6678.4685099999997</v>
      </c>
      <c r="G276" s="191">
        <f>G277+G280+G285</f>
        <v>4883.8494999999994</v>
      </c>
      <c r="H276" s="192">
        <f>H277+H280+H285</f>
        <v>5332.3705</v>
      </c>
    </row>
    <row r="277" spans="1:8" s="55" customFormat="1" ht="15.75" x14ac:dyDescent="0.25">
      <c r="A277" s="75" t="s">
        <v>31</v>
      </c>
      <c r="B277" s="5" t="s">
        <v>91</v>
      </c>
      <c r="C277" s="5" t="s">
        <v>66</v>
      </c>
      <c r="D277" s="5"/>
      <c r="E277" s="5"/>
      <c r="F277" s="191">
        <f t="shared" ref="F277:H278" si="61">F278</f>
        <v>4235.9920099999999</v>
      </c>
      <c r="G277" s="191">
        <f t="shared" si="61"/>
        <v>4437.8999999999996</v>
      </c>
      <c r="H277" s="192">
        <f t="shared" si="61"/>
        <v>4851.6899999999996</v>
      </c>
    </row>
    <row r="278" spans="1:8" s="55" customFormat="1" ht="15.75" x14ac:dyDescent="0.25">
      <c r="A278" s="10" t="s">
        <v>67</v>
      </c>
      <c r="B278" s="5" t="s">
        <v>91</v>
      </c>
      <c r="C278" s="5" t="s">
        <v>68</v>
      </c>
      <c r="D278" s="5"/>
      <c r="E278" s="5"/>
      <c r="F278" s="191">
        <f t="shared" si="61"/>
        <v>4235.9920099999999</v>
      </c>
      <c r="G278" s="191">
        <f t="shared" si="61"/>
        <v>4437.8999999999996</v>
      </c>
      <c r="H278" s="192">
        <f t="shared" si="61"/>
        <v>4851.6899999999996</v>
      </c>
    </row>
    <row r="279" spans="1:8" s="55" customFormat="1" ht="15.75" x14ac:dyDescent="0.25">
      <c r="A279" s="352" t="s">
        <v>92</v>
      </c>
      <c r="B279" s="7" t="s">
        <v>91</v>
      </c>
      <c r="C279" s="7" t="s">
        <v>68</v>
      </c>
      <c r="D279" s="7" t="s">
        <v>30</v>
      </c>
      <c r="E279" s="7" t="s">
        <v>93</v>
      </c>
      <c r="F279" s="191">
        <f>пр.4!G66</f>
        <v>4235.9920099999999</v>
      </c>
      <c r="G279" s="191">
        <f>пр.4!H66</f>
        <v>4437.8999999999996</v>
      </c>
      <c r="H279" s="192">
        <f>пр.4!I66</f>
        <v>4851.6899999999996</v>
      </c>
    </row>
    <row r="280" spans="1:8" s="55" customFormat="1" ht="15.75" x14ac:dyDescent="0.25">
      <c r="A280" s="9" t="s">
        <v>39</v>
      </c>
      <c r="B280" s="7" t="s">
        <v>91</v>
      </c>
      <c r="C280" s="7" t="s">
        <v>115</v>
      </c>
      <c r="D280" s="7"/>
      <c r="E280" s="7"/>
      <c r="F280" s="191">
        <f>F281+F283</f>
        <v>342.47649999999999</v>
      </c>
      <c r="G280" s="191">
        <f>G281+G283</f>
        <v>369.56950000000001</v>
      </c>
      <c r="H280" s="192">
        <f>H281+H283</f>
        <v>396.66250000000002</v>
      </c>
    </row>
    <row r="281" spans="1:8" s="55" customFormat="1" ht="15.75" x14ac:dyDescent="0.25">
      <c r="A281" s="10" t="s">
        <v>135</v>
      </c>
      <c r="B281" s="7" t="s">
        <v>91</v>
      </c>
      <c r="C281" s="7" t="s">
        <v>116</v>
      </c>
      <c r="D281" s="7"/>
      <c r="E281" s="7"/>
      <c r="F281" s="191">
        <f>F282</f>
        <v>284.47649999999999</v>
      </c>
      <c r="G281" s="191">
        <f>G282</f>
        <v>311.56950000000001</v>
      </c>
      <c r="H281" s="192">
        <f>H282</f>
        <v>338.66250000000002</v>
      </c>
    </row>
    <row r="282" spans="1:8" s="55" customFormat="1" ht="15.75" x14ac:dyDescent="0.25">
      <c r="A282" s="352" t="s">
        <v>92</v>
      </c>
      <c r="B282" s="7" t="s">
        <v>91</v>
      </c>
      <c r="C282" s="7" t="s">
        <v>116</v>
      </c>
      <c r="D282" s="7" t="s">
        <v>30</v>
      </c>
      <c r="E282" s="7" t="s">
        <v>93</v>
      </c>
      <c r="F282" s="191">
        <f>пр.4!G68</f>
        <v>284.47649999999999</v>
      </c>
      <c r="G282" s="191">
        <f>пр.4!H68</f>
        <v>311.56950000000001</v>
      </c>
      <c r="H282" s="192">
        <f>пр.4!I68</f>
        <v>338.66250000000002</v>
      </c>
    </row>
    <row r="283" spans="1:8" s="55" customFormat="1" ht="15.75" x14ac:dyDescent="0.25">
      <c r="A283" s="10" t="s">
        <v>469</v>
      </c>
      <c r="B283" s="7" t="s">
        <v>91</v>
      </c>
      <c r="C283" s="7" t="s">
        <v>468</v>
      </c>
      <c r="D283" s="7"/>
      <c r="E283" s="7"/>
      <c r="F283" s="191">
        <f>F284</f>
        <v>58</v>
      </c>
      <c r="G283" s="191">
        <f>G284</f>
        <v>58</v>
      </c>
      <c r="H283" s="192">
        <f>H284</f>
        <v>58</v>
      </c>
    </row>
    <row r="284" spans="1:8" s="55" customFormat="1" ht="15.75" x14ac:dyDescent="0.25">
      <c r="A284" s="352" t="s">
        <v>92</v>
      </c>
      <c r="B284" s="7" t="s">
        <v>91</v>
      </c>
      <c r="C284" s="7" t="s">
        <v>468</v>
      </c>
      <c r="D284" s="7" t="s">
        <v>30</v>
      </c>
      <c r="E284" s="7" t="s">
        <v>93</v>
      </c>
      <c r="F284" s="191">
        <f>пр.4!G69</f>
        <v>58</v>
      </c>
      <c r="G284" s="191">
        <f>пр.4!H69</f>
        <v>58</v>
      </c>
      <c r="H284" s="192">
        <f>пр.4!I69</f>
        <v>58</v>
      </c>
    </row>
    <row r="285" spans="1:8" s="55" customFormat="1" ht="15.75" x14ac:dyDescent="0.25">
      <c r="A285" s="75" t="s">
        <v>33</v>
      </c>
      <c r="B285" s="7" t="s">
        <v>91</v>
      </c>
      <c r="C285" s="7" t="s">
        <v>75</v>
      </c>
      <c r="D285" s="7"/>
      <c r="E285" s="7"/>
      <c r="F285" s="191">
        <f>F286+F288</f>
        <v>2100</v>
      </c>
      <c r="G285" s="191">
        <f>G286+G288</f>
        <v>76.38</v>
      </c>
      <c r="H285" s="192">
        <f>H286+H288</f>
        <v>84.018000000000001</v>
      </c>
    </row>
    <row r="286" spans="1:8" s="55" customFormat="1" ht="15.75" x14ac:dyDescent="0.25">
      <c r="A286" s="10" t="s">
        <v>152</v>
      </c>
      <c r="B286" s="7" t="s">
        <v>91</v>
      </c>
      <c r="C286" s="7" t="s">
        <v>151</v>
      </c>
      <c r="D286" s="7"/>
      <c r="E286" s="7"/>
      <c r="F286" s="191">
        <f>F287</f>
        <v>2000</v>
      </c>
      <c r="G286" s="191">
        <f>G287</f>
        <v>0</v>
      </c>
      <c r="H286" s="192">
        <f>H287</f>
        <v>0</v>
      </c>
    </row>
    <row r="287" spans="1:8" s="55" customFormat="1" ht="15.75" x14ac:dyDescent="0.25">
      <c r="A287" s="352" t="s">
        <v>92</v>
      </c>
      <c r="B287" s="7" t="s">
        <v>91</v>
      </c>
      <c r="C287" s="7" t="s">
        <v>151</v>
      </c>
      <c r="D287" s="7" t="s">
        <v>30</v>
      </c>
      <c r="E287" s="7" t="s">
        <v>93</v>
      </c>
      <c r="F287" s="191">
        <f>пр.4!G71</f>
        <v>2000</v>
      </c>
      <c r="G287" s="191">
        <f>пр.4!H71</f>
        <v>0</v>
      </c>
      <c r="H287" s="192">
        <f>пр.4!I71</f>
        <v>0</v>
      </c>
    </row>
    <row r="288" spans="1:8" s="55" customFormat="1" ht="15.75" x14ac:dyDescent="0.25">
      <c r="A288" s="10" t="s">
        <v>76</v>
      </c>
      <c r="B288" s="7" t="s">
        <v>91</v>
      </c>
      <c r="C288" s="7" t="s">
        <v>77</v>
      </c>
      <c r="D288" s="7"/>
      <c r="E288" s="7"/>
      <c r="F288" s="191">
        <f>F289</f>
        <v>100</v>
      </c>
      <c r="G288" s="191">
        <f>G289</f>
        <v>76.38</v>
      </c>
      <c r="H288" s="192">
        <f>H289</f>
        <v>84.018000000000001</v>
      </c>
    </row>
    <row r="289" spans="1:8" s="55" customFormat="1" ht="15.75" x14ac:dyDescent="0.25">
      <c r="A289" s="352" t="s">
        <v>92</v>
      </c>
      <c r="B289" s="7" t="s">
        <v>91</v>
      </c>
      <c r="C289" s="7" t="s">
        <v>77</v>
      </c>
      <c r="D289" s="7" t="s">
        <v>30</v>
      </c>
      <c r="E289" s="7" t="s">
        <v>93</v>
      </c>
      <c r="F289" s="191">
        <f>пр.4!G72</f>
        <v>100</v>
      </c>
      <c r="G289" s="191">
        <f>пр.4!H72</f>
        <v>76.38</v>
      </c>
      <c r="H289" s="192">
        <f>пр.4!I72</f>
        <v>84.018000000000001</v>
      </c>
    </row>
    <row r="290" spans="1:8" s="55" customFormat="1" ht="15.75" x14ac:dyDescent="0.25">
      <c r="A290" s="217" t="s">
        <v>325</v>
      </c>
      <c r="B290" s="7" t="s">
        <v>326</v>
      </c>
      <c r="C290" s="7"/>
      <c r="D290" s="7"/>
      <c r="E290" s="7"/>
      <c r="F290" s="191">
        <f t="shared" ref="F290:H292" si="62">F291</f>
        <v>500</v>
      </c>
      <c r="G290" s="191">
        <f t="shared" si="62"/>
        <v>500</v>
      </c>
      <c r="H290" s="192">
        <f t="shared" si="62"/>
        <v>500</v>
      </c>
    </row>
    <row r="291" spans="1:8" s="55" customFormat="1" ht="15.75" x14ac:dyDescent="0.25">
      <c r="A291" s="75" t="s">
        <v>31</v>
      </c>
      <c r="B291" s="7" t="s">
        <v>326</v>
      </c>
      <c r="C291" s="7" t="s">
        <v>66</v>
      </c>
      <c r="D291" s="7"/>
      <c r="E291" s="7"/>
      <c r="F291" s="191">
        <f t="shared" si="62"/>
        <v>500</v>
      </c>
      <c r="G291" s="191">
        <f t="shared" si="62"/>
        <v>500</v>
      </c>
      <c r="H291" s="192">
        <f t="shared" si="62"/>
        <v>500</v>
      </c>
    </row>
    <row r="292" spans="1:8" s="55" customFormat="1" ht="15.75" x14ac:dyDescent="0.25">
      <c r="A292" s="10" t="s">
        <v>67</v>
      </c>
      <c r="B292" s="7" t="s">
        <v>326</v>
      </c>
      <c r="C292" s="7" t="s">
        <v>68</v>
      </c>
      <c r="D292" s="7"/>
      <c r="E292" s="7"/>
      <c r="F292" s="191">
        <f t="shared" si="62"/>
        <v>500</v>
      </c>
      <c r="G292" s="191">
        <f t="shared" si="62"/>
        <v>500</v>
      </c>
      <c r="H292" s="192">
        <f t="shared" si="62"/>
        <v>500</v>
      </c>
    </row>
    <row r="293" spans="1:8" s="55" customFormat="1" ht="16.5" thickBot="1" x14ac:dyDescent="0.3">
      <c r="A293" s="351" t="s">
        <v>92</v>
      </c>
      <c r="B293" s="218" t="s">
        <v>326</v>
      </c>
      <c r="C293" s="218" t="s">
        <v>68</v>
      </c>
      <c r="D293" s="218" t="s">
        <v>30</v>
      </c>
      <c r="E293" s="218" t="s">
        <v>93</v>
      </c>
      <c r="F293" s="219">
        <f>пр.4!G75</f>
        <v>500</v>
      </c>
      <c r="G293" s="219">
        <f>пр.4!H75</f>
        <v>500</v>
      </c>
      <c r="H293" s="220">
        <f>пр.4!I75</f>
        <v>500</v>
      </c>
    </row>
    <row r="294" spans="1:8" s="55" customFormat="1" ht="26.25" thickBot="1" x14ac:dyDescent="0.3">
      <c r="A294" s="153" t="s">
        <v>401</v>
      </c>
      <c r="B294" s="172" t="s">
        <v>94</v>
      </c>
      <c r="C294" s="172"/>
      <c r="D294" s="172"/>
      <c r="E294" s="172"/>
      <c r="F294" s="211">
        <f t="shared" ref="F294:H295" si="63">F295</f>
        <v>17668.620620000002</v>
      </c>
      <c r="G294" s="211">
        <f t="shared" si="63"/>
        <v>15187.503362000001</v>
      </c>
      <c r="H294" s="212">
        <f t="shared" si="63"/>
        <v>16095.607444000001</v>
      </c>
    </row>
    <row r="295" spans="1:8" s="55" customFormat="1" ht="15.75" x14ac:dyDescent="0.25">
      <c r="A295" s="213" t="s">
        <v>13</v>
      </c>
      <c r="B295" s="214" t="s">
        <v>95</v>
      </c>
      <c r="C295" s="214"/>
      <c r="D295" s="214"/>
      <c r="E295" s="214"/>
      <c r="F295" s="215">
        <f t="shared" si="63"/>
        <v>17668.620620000002</v>
      </c>
      <c r="G295" s="215">
        <f t="shared" si="63"/>
        <v>15187.503362000001</v>
      </c>
      <c r="H295" s="216">
        <f t="shared" si="63"/>
        <v>16095.607444000001</v>
      </c>
    </row>
    <row r="296" spans="1:8" s="55" customFormat="1" ht="15.75" x14ac:dyDescent="0.25">
      <c r="A296" s="89" t="s">
        <v>13</v>
      </c>
      <c r="B296" s="112" t="s">
        <v>96</v>
      </c>
      <c r="C296" s="112"/>
      <c r="D296" s="112"/>
      <c r="E296" s="112"/>
      <c r="F296" s="189">
        <f>F297+F309+F301+F305+F320+F324+F328+F332+F336+F316</f>
        <v>17668.620620000002</v>
      </c>
      <c r="G296" s="189">
        <f>G297+G309+G301+G305+G320+G324+G328+G332+G336+G316</f>
        <v>15187.503362000001</v>
      </c>
      <c r="H296" s="190">
        <f>H297+H309+H301+H305+H320+H324+H328+H332+H336+H316</f>
        <v>16095.607444000001</v>
      </c>
    </row>
    <row r="297" spans="1:8" s="55" customFormat="1" ht="15.75" x14ac:dyDescent="0.25">
      <c r="A297" s="9" t="s">
        <v>425</v>
      </c>
      <c r="B297" s="5" t="s">
        <v>97</v>
      </c>
      <c r="C297" s="5"/>
      <c r="D297" s="5"/>
      <c r="E297" s="5"/>
      <c r="F297" s="191">
        <f t="shared" ref="F297:H299" si="64">F298</f>
        <v>1000</v>
      </c>
      <c r="G297" s="191">
        <f t="shared" si="64"/>
        <v>1000</v>
      </c>
      <c r="H297" s="192">
        <f t="shared" si="64"/>
        <v>1000</v>
      </c>
    </row>
    <row r="298" spans="1:8" s="55" customFormat="1" ht="15.75" x14ac:dyDescent="0.25">
      <c r="A298" s="75" t="s">
        <v>33</v>
      </c>
      <c r="B298" s="5" t="s">
        <v>97</v>
      </c>
      <c r="C298" s="5" t="s">
        <v>75</v>
      </c>
      <c r="D298" s="5"/>
      <c r="E298" s="5"/>
      <c r="F298" s="191">
        <f t="shared" si="64"/>
        <v>1000</v>
      </c>
      <c r="G298" s="191">
        <f t="shared" si="64"/>
        <v>1000</v>
      </c>
      <c r="H298" s="192">
        <f t="shared" si="64"/>
        <v>1000</v>
      </c>
    </row>
    <row r="299" spans="1:8" s="55" customFormat="1" ht="15.75" x14ac:dyDescent="0.25">
      <c r="A299" s="10" t="s">
        <v>98</v>
      </c>
      <c r="B299" s="5" t="s">
        <v>97</v>
      </c>
      <c r="C299" s="5" t="s">
        <v>99</v>
      </c>
      <c r="D299" s="5"/>
      <c r="E299" s="5"/>
      <c r="F299" s="191">
        <f t="shared" si="64"/>
        <v>1000</v>
      </c>
      <c r="G299" s="191">
        <f t="shared" si="64"/>
        <v>1000</v>
      </c>
      <c r="H299" s="192">
        <f t="shared" si="64"/>
        <v>1000</v>
      </c>
    </row>
    <row r="300" spans="1:8" s="55" customFormat="1" ht="15.75" x14ac:dyDescent="0.25">
      <c r="A300" s="10" t="s">
        <v>100</v>
      </c>
      <c r="B300" s="5" t="s">
        <v>97</v>
      </c>
      <c r="C300" s="5" t="s">
        <v>99</v>
      </c>
      <c r="D300" s="5" t="s">
        <v>30</v>
      </c>
      <c r="E300" s="5" t="s">
        <v>29</v>
      </c>
      <c r="F300" s="191">
        <f>пр.4!G59</f>
        <v>1000</v>
      </c>
      <c r="G300" s="191">
        <f>пр.4!H59</f>
        <v>1000</v>
      </c>
      <c r="H300" s="192">
        <f>пр.4!I59</f>
        <v>1000</v>
      </c>
    </row>
    <row r="301" spans="1:8" s="55" customFormat="1" ht="15.75" x14ac:dyDescent="0.25">
      <c r="A301" s="9" t="s">
        <v>103</v>
      </c>
      <c r="B301" s="5" t="s">
        <v>104</v>
      </c>
      <c r="C301" s="5"/>
      <c r="D301" s="5"/>
      <c r="E301" s="5"/>
      <c r="F301" s="191">
        <f>F303</f>
        <v>2000</v>
      </c>
      <c r="G301" s="191">
        <f>G303</f>
        <v>550</v>
      </c>
      <c r="H301" s="192">
        <f>H303</f>
        <v>500</v>
      </c>
    </row>
    <row r="302" spans="1:8" s="55" customFormat="1" ht="15.75" x14ac:dyDescent="0.25">
      <c r="A302" s="75" t="s">
        <v>31</v>
      </c>
      <c r="B302" s="5" t="s">
        <v>104</v>
      </c>
      <c r="C302" s="5" t="s">
        <v>66</v>
      </c>
      <c r="D302" s="5"/>
      <c r="E302" s="5"/>
      <c r="F302" s="191">
        <f t="shared" ref="F302:H303" si="65">F303</f>
        <v>2000</v>
      </c>
      <c r="G302" s="191">
        <f t="shared" si="65"/>
        <v>550</v>
      </c>
      <c r="H302" s="192">
        <f t="shared" si="65"/>
        <v>500</v>
      </c>
    </row>
    <row r="303" spans="1:8" s="55" customFormat="1" ht="15.75" x14ac:dyDescent="0.25">
      <c r="A303" s="10" t="s">
        <v>67</v>
      </c>
      <c r="B303" s="5" t="s">
        <v>104</v>
      </c>
      <c r="C303" s="5" t="s">
        <v>68</v>
      </c>
      <c r="D303" s="5"/>
      <c r="E303" s="5"/>
      <c r="F303" s="191">
        <f t="shared" si="65"/>
        <v>2000</v>
      </c>
      <c r="G303" s="191">
        <f t="shared" si="65"/>
        <v>550</v>
      </c>
      <c r="H303" s="192">
        <f t="shared" si="65"/>
        <v>500</v>
      </c>
    </row>
    <row r="304" spans="1:8" s="55" customFormat="1" ht="15.75" x14ac:dyDescent="0.25">
      <c r="A304" s="10" t="s">
        <v>35</v>
      </c>
      <c r="B304" s="5" t="s">
        <v>104</v>
      </c>
      <c r="C304" s="5" t="s">
        <v>68</v>
      </c>
      <c r="D304" s="5" t="s">
        <v>36</v>
      </c>
      <c r="E304" s="5" t="s">
        <v>37</v>
      </c>
      <c r="F304" s="191">
        <f>пр.4!G163</f>
        <v>2000</v>
      </c>
      <c r="G304" s="191">
        <f>пр.4!H163</f>
        <v>550</v>
      </c>
      <c r="H304" s="192">
        <f>пр.4!I163</f>
        <v>500</v>
      </c>
    </row>
    <row r="305" spans="1:8" s="55" customFormat="1" ht="15.75" x14ac:dyDescent="0.25">
      <c r="A305" s="9" t="s">
        <v>105</v>
      </c>
      <c r="B305" s="5" t="s">
        <v>106</v>
      </c>
      <c r="C305" s="5"/>
      <c r="D305" s="5"/>
      <c r="E305" s="5"/>
      <c r="F305" s="191">
        <f t="shared" ref="F305:H307" si="66">F306</f>
        <v>200</v>
      </c>
      <c r="G305" s="191">
        <f t="shared" si="66"/>
        <v>0</v>
      </c>
      <c r="H305" s="192">
        <f t="shared" si="66"/>
        <v>0</v>
      </c>
    </row>
    <row r="306" spans="1:8" s="55" customFormat="1" ht="15.75" x14ac:dyDescent="0.25">
      <c r="A306" s="75" t="s">
        <v>31</v>
      </c>
      <c r="B306" s="5" t="s">
        <v>106</v>
      </c>
      <c r="C306" s="5" t="s">
        <v>66</v>
      </c>
      <c r="D306" s="5"/>
      <c r="E306" s="5"/>
      <c r="F306" s="191">
        <f t="shared" si="66"/>
        <v>200</v>
      </c>
      <c r="G306" s="191">
        <f t="shared" si="66"/>
        <v>0</v>
      </c>
      <c r="H306" s="192">
        <f t="shared" si="66"/>
        <v>0</v>
      </c>
    </row>
    <row r="307" spans="1:8" s="55" customFormat="1" ht="15.75" x14ac:dyDescent="0.25">
      <c r="A307" s="10" t="s">
        <v>67</v>
      </c>
      <c r="B307" s="5" t="s">
        <v>106</v>
      </c>
      <c r="C307" s="5" t="s">
        <v>68</v>
      </c>
      <c r="D307" s="5"/>
      <c r="E307" s="5"/>
      <c r="F307" s="191">
        <f t="shared" si="66"/>
        <v>200</v>
      </c>
      <c r="G307" s="191">
        <f t="shared" si="66"/>
        <v>0</v>
      </c>
      <c r="H307" s="192">
        <f t="shared" si="66"/>
        <v>0</v>
      </c>
    </row>
    <row r="308" spans="1:8" s="55" customFormat="1" ht="15.75" x14ac:dyDescent="0.25">
      <c r="A308" s="10" t="s">
        <v>35</v>
      </c>
      <c r="B308" s="5" t="s">
        <v>106</v>
      </c>
      <c r="C308" s="5" t="s">
        <v>68</v>
      </c>
      <c r="D308" s="5" t="s">
        <v>36</v>
      </c>
      <c r="E308" s="5" t="s">
        <v>37</v>
      </c>
      <c r="F308" s="191">
        <f>пр.4!G166</f>
        <v>200</v>
      </c>
      <c r="G308" s="191">
        <f>пр.4!H166</f>
        <v>0</v>
      </c>
      <c r="H308" s="192">
        <f>пр.4!I166</f>
        <v>0</v>
      </c>
    </row>
    <row r="309" spans="1:8" s="55" customFormat="1" ht="25.5" x14ac:dyDescent="0.25">
      <c r="A309" s="9" t="s">
        <v>415</v>
      </c>
      <c r="B309" s="5" t="s">
        <v>101</v>
      </c>
      <c r="C309" s="5"/>
      <c r="D309" s="5"/>
      <c r="E309" s="5"/>
      <c r="F309" s="191">
        <f>F310+F313</f>
        <v>2263.8000000000002</v>
      </c>
      <c r="G309" s="191">
        <f>G310+G313</f>
        <v>2517</v>
      </c>
      <c r="H309" s="192">
        <f>H310+H313</f>
        <v>3185.6</v>
      </c>
    </row>
    <row r="310" spans="1:8" s="55" customFormat="1" ht="25.5" x14ac:dyDescent="0.25">
      <c r="A310" s="203" t="s">
        <v>27</v>
      </c>
      <c r="B310" s="5" t="s">
        <v>101</v>
      </c>
      <c r="C310" s="5" t="s">
        <v>72</v>
      </c>
      <c r="D310" s="5"/>
      <c r="E310" s="5"/>
      <c r="F310" s="191">
        <f t="shared" ref="F310:H311" si="67">F311</f>
        <v>2188.5940000000001</v>
      </c>
      <c r="G310" s="191">
        <f t="shared" si="67"/>
        <v>2432.5300000000002</v>
      </c>
      <c r="H310" s="192">
        <f t="shared" si="67"/>
        <v>3092.6</v>
      </c>
    </row>
    <row r="311" spans="1:8" s="55" customFormat="1" ht="15.75" x14ac:dyDescent="0.25">
      <c r="A311" s="10" t="s">
        <v>73</v>
      </c>
      <c r="B311" s="5" t="s">
        <v>101</v>
      </c>
      <c r="C311" s="5" t="s">
        <v>74</v>
      </c>
      <c r="D311" s="5"/>
      <c r="E311" s="5"/>
      <c r="F311" s="191">
        <f t="shared" si="67"/>
        <v>2188.5940000000001</v>
      </c>
      <c r="G311" s="191">
        <f t="shared" si="67"/>
        <v>2432.5300000000002</v>
      </c>
      <c r="H311" s="192">
        <f t="shared" si="67"/>
        <v>3092.6</v>
      </c>
    </row>
    <row r="312" spans="1:8" s="55" customFormat="1" ht="15.75" x14ac:dyDescent="0.25">
      <c r="A312" s="10" t="s">
        <v>102</v>
      </c>
      <c r="B312" s="5" t="s">
        <v>101</v>
      </c>
      <c r="C312" s="5" t="s">
        <v>74</v>
      </c>
      <c r="D312" s="5" t="s">
        <v>58</v>
      </c>
      <c r="E312" s="5" t="s">
        <v>40</v>
      </c>
      <c r="F312" s="221">
        <f>пр.4!G83</f>
        <v>2188.5940000000001</v>
      </c>
      <c r="G312" s="221">
        <f>пр.4!H83</f>
        <v>2432.5300000000002</v>
      </c>
      <c r="H312" s="222">
        <f>пр.4!I83</f>
        <v>3092.6</v>
      </c>
    </row>
    <row r="313" spans="1:8" s="55" customFormat="1" ht="15.75" x14ac:dyDescent="0.25">
      <c r="A313" s="75" t="s">
        <v>31</v>
      </c>
      <c r="B313" s="5" t="s">
        <v>101</v>
      </c>
      <c r="C313" s="5" t="s">
        <v>66</v>
      </c>
      <c r="D313" s="5"/>
      <c r="E313" s="5"/>
      <c r="F313" s="191">
        <f t="shared" ref="F313:H314" si="68">F314</f>
        <v>75.206000000000003</v>
      </c>
      <c r="G313" s="191">
        <f t="shared" si="68"/>
        <v>84.47</v>
      </c>
      <c r="H313" s="192">
        <f t="shared" si="68"/>
        <v>93</v>
      </c>
    </row>
    <row r="314" spans="1:8" s="55" customFormat="1" ht="15.75" x14ac:dyDescent="0.25">
      <c r="A314" s="10" t="s">
        <v>67</v>
      </c>
      <c r="B314" s="5" t="s">
        <v>101</v>
      </c>
      <c r="C314" s="5" t="s">
        <v>68</v>
      </c>
      <c r="D314" s="5"/>
      <c r="E314" s="5"/>
      <c r="F314" s="191">
        <f t="shared" si="68"/>
        <v>75.206000000000003</v>
      </c>
      <c r="G314" s="191">
        <f t="shared" si="68"/>
        <v>84.47</v>
      </c>
      <c r="H314" s="192">
        <f t="shared" si="68"/>
        <v>93</v>
      </c>
    </row>
    <row r="315" spans="1:8" s="55" customFormat="1" ht="15.75" x14ac:dyDescent="0.25">
      <c r="A315" s="10" t="s">
        <v>102</v>
      </c>
      <c r="B315" s="5" t="s">
        <v>101</v>
      </c>
      <c r="C315" s="5" t="s">
        <v>68</v>
      </c>
      <c r="D315" s="5" t="s">
        <v>58</v>
      </c>
      <c r="E315" s="5" t="s">
        <v>40</v>
      </c>
      <c r="F315" s="191">
        <f>пр.4!G85</f>
        <v>75.206000000000003</v>
      </c>
      <c r="G315" s="191">
        <f>пр.4!H85</f>
        <v>84.47</v>
      </c>
      <c r="H315" s="192">
        <f>пр.4!I85</f>
        <v>93</v>
      </c>
    </row>
    <row r="316" spans="1:8" s="55" customFormat="1" ht="38.25" x14ac:dyDescent="0.25">
      <c r="A316" s="197" t="s">
        <v>421</v>
      </c>
      <c r="B316" s="5" t="s">
        <v>359</v>
      </c>
      <c r="C316" s="5"/>
      <c r="D316" s="5"/>
      <c r="E316" s="5"/>
      <c r="F316" s="191">
        <f>F317</f>
        <v>497.589</v>
      </c>
      <c r="G316" s="191">
        <f t="shared" ref="G316:H318" si="69">G317</f>
        <v>0</v>
      </c>
      <c r="H316" s="192">
        <f t="shared" si="69"/>
        <v>0</v>
      </c>
    </row>
    <row r="317" spans="1:8" s="55" customFormat="1" ht="15.75" x14ac:dyDescent="0.25">
      <c r="A317" s="9" t="s">
        <v>123</v>
      </c>
      <c r="B317" s="5" t="s">
        <v>359</v>
      </c>
      <c r="C317" s="5" t="s">
        <v>78</v>
      </c>
      <c r="D317" s="5"/>
      <c r="E317" s="5"/>
      <c r="F317" s="191">
        <f>F318</f>
        <v>497.589</v>
      </c>
      <c r="G317" s="191">
        <f t="shared" si="69"/>
        <v>0</v>
      </c>
      <c r="H317" s="192">
        <f t="shared" si="69"/>
        <v>0</v>
      </c>
    </row>
    <row r="318" spans="1:8" s="55" customFormat="1" ht="15.75" x14ac:dyDescent="0.25">
      <c r="A318" s="10" t="s">
        <v>79</v>
      </c>
      <c r="B318" s="5" t="s">
        <v>359</v>
      </c>
      <c r="C318" s="5" t="s">
        <v>4</v>
      </c>
      <c r="D318" s="5"/>
      <c r="E318" s="5"/>
      <c r="F318" s="191">
        <f>F319</f>
        <v>497.589</v>
      </c>
      <c r="G318" s="191">
        <f t="shared" si="69"/>
        <v>0</v>
      </c>
      <c r="H318" s="192">
        <f t="shared" si="69"/>
        <v>0</v>
      </c>
    </row>
    <row r="319" spans="1:8" s="55" customFormat="1" ht="15.75" x14ac:dyDescent="0.25">
      <c r="A319" s="10" t="s">
        <v>144</v>
      </c>
      <c r="B319" s="5" t="s">
        <v>359</v>
      </c>
      <c r="C319" s="5" t="s">
        <v>4</v>
      </c>
      <c r="D319" s="5" t="s">
        <v>40</v>
      </c>
      <c r="E319" s="5" t="s">
        <v>145</v>
      </c>
      <c r="F319" s="191">
        <f>пр.4!G129</f>
        <v>497.589</v>
      </c>
      <c r="G319" s="191">
        <f>пр.4!H129</f>
        <v>0</v>
      </c>
      <c r="H319" s="192">
        <f>пр.4!I129</f>
        <v>0</v>
      </c>
    </row>
    <row r="320" spans="1:8" s="55" customFormat="1" ht="38.25" x14ac:dyDescent="0.25">
      <c r="A320" s="9" t="s">
        <v>154</v>
      </c>
      <c r="B320" s="5" t="s">
        <v>213</v>
      </c>
      <c r="C320" s="5"/>
      <c r="D320" s="5"/>
      <c r="E320" s="5"/>
      <c r="F320" s="191">
        <f t="shared" ref="F320:H322" si="70">F321</f>
        <v>469.86419999999998</v>
      </c>
      <c r="G320" s="191">
        <f t="shared" si="70"/>
        <v>0</v>
      </c>
      <c r="H320" s="192">
        <f t="shared" si="70"/>
        <v>0</v>
      </c>
    </row>
    <row r="321" spans="1:8" s="55" customFormat="1" ht="15.75" x14ac:dyDescent="0.25">
      <c r="A321" s="9" t="s">
        <v>123</v>
      </c>
      <c r="B321" s="5" t="s">
        <v>213</v>
      </c>
      <c r="C321" s="5" t="s">
        <v>78</v>
      </c>
      <c r="D321" s="5"/>
      <c r="E321" s="5"/>
      <c r="F321" s="191">
        <f t="shared" si="70"/>
        <v>469.86419999999998</v>
      </c>
      <c r="G321" s="191">
        <f t="shared" si="70"/>
        <v>0</v>
      </c>
      <c r="H321" s="192">
        <f t="shared" si="70"/>
        <v>0</v>
      </c>
    </row>
    <row r="322" spans="1:8" s="55" customFormat="1" ht="15.75" x14ac:dyDescent="0.25">
      <c r="A322" s="10" t="s">
        <v>79</v>
      </c>
      <c r="B322" s="5" t="s">
        <v>213</v>
      </c>
      <c r="C322" s="5" t="s">
        <v>4</v>
      </c>
      <c r="D322" s="5"/>
      <c r="E322" s="5"/>
      <c r="F322" s="191">
        <f t="shared" si="70"/>
        <v>469.86419999999998</v>
      </c>
      <c r="G322" s="191">
        <f t="shared" si="70"/>
        <v>0</v>
      </c>
      <c r="H322" s="192">
        <f t="shared" si="70"/>
        <v>0</v>
      </c>
    </row>
    <row r="323" spans="1:8" s="55" customFormat="1" ht="15.75" x14ac:dyDescent="0.25">
      <c r="A323" s="10" t="s">
        <v>35</v>
      </c>
      <c r="B323" s="5" t="s">
        <v>213</v>
      </c>
      <c r="C323" s="5" t="s">
        <v>4</v>
      </c>
      <c r="D323" s="5" t="s">
        <v>36</v>
      </c>
      <c r="E323" s="5" t="s">
        <v>37</v>
      </c>
      <c r="F323" s="191">
        <f>пр.4!G172</f>
        <v>469.86419999999998</v>
      </c>
      <c r="G323" s="191">
        <f>пр.4!H172</f>
        <v>0</v>
      </c>
      <c r="H323" s="192">
        <f>пр.4!I172</f>
        <v>0</v>
      </c>
    </row>
    <row r="324" spans="1:8" s="55" customFormat="1" ht="15.75" x14ac:dyDescent="0.25">
      <c r="A324" s="9" t="s">
        <v>107</v>
      </c>
      <c r="B324" s="5" t="s">
        <v>108</v>
      </c>
      <c r="C324" s="5"/>
      <c r="D324" s="5"/>
      <c r="E324" s="5"/>
      <c r="F324" s="191">
        <f>F326</f>
        <v>600</v>
      </c>
      <c r="G324" s="191">
        <f>G326</f>
        <v>400</v>
      </c>
      <c r="H324" s="192">
        <f>H326</f>
        <v>400</v>
      </c>
    </row>
    <row r="325" spans="1:8" s="55" customFormat="1" ht="15.75" x14ac:dyDescent="0.25">
      <c r="A325" s="75" t="s">
        <v>31</v>
      </c>
      <c r="B325" s="5" t="s">
        <v>108</v>
      </c>
      <c r="C325" s="5" t="s">
        <v>66</v>
      </c>
      <c r="D325" s="5"/>
      <c r="E325" s="5"/>
      <c r="F325" s="191">
        <f t="shared" ref="F325:H326" si="71">F326</f>
        <v>600</v>
      </c>
      <c r="G325" s="191">
        <f t="shared" si="71"/>
        <v>400</v>
      </c>
      <c r="H325" s="192">
        <f t="shared" si="71"/>
        <v>400</v>
      </c>
    </row>
    <row r="326" spans="1:8" s="55" customFormat="1" ht="15.75" x14ac:dyDescent="0.25">
      <c r="A326" s="10" t="s">
        <v>67</v>
      </c>
      <c r="B326" s="5" t="s">
        <v>108</v>
      </c>
      <c r="C326" s="5" t="s">
        <v>68</v>
      </c>
      <c r="D326" s="5"/>
      <c r="E326" s="5"/>
      <c r="F326" s="191">
        <f t="shared" si="71"/>
        <v>600</v>
      </c>
      <c r="G326" s="191">
        <f t="shared" si="71"/>
        <v>400</v>
      </c>
      <c r="H326" s="192">
        <f t="shared" si="71"/>
        <v>400</v>
      </c>
    </row>
    <row r="327" spans="1:8" s="55" customFormat="1" ht="15.75" x14ac:dyDescent="0.25">
      <c r="A327" s="128" t="s">
        <v>35</v>
      </c>
      <c r="B327" s="7" t="s">
        <v>108</v>
      </c>
      <c r="C327" s="7" t="s">
        <v>68</v>
      </c>
      <c r="D327" s="7" t="s">
        <v>36</v>
      </c>
      <c r="E327" s="7" t="s">
        <v>37</v>
      </c>
      <c r="F327" s="191">
        <f>пр.4!G169</f>
        <v>600</v>
      </c>
      <c r="G327" s="191">
        <f>пр.4!H169</f>
        <v>400</v>
      </c>
      <c r="H327" s="192">
        <f>пр.4!I169</f>
        <v>400</v>
      </c>
    </row>
    <row r="328" spans="1:8" s="55" customFormat="1" ht="15.75" x14ac:dyDescent="0.25">
      <c r="A328" s="9" t="s">
        <v>130</v>
      </c>
      <c r="B328" s="5" t="s">
        <v>109</v>
      </c>
      <c r="C328" s="5"/>
      <c r="D328" s="5"/>
      <c r="E328" s="5"/>
      <c r="F328" s="191">
        <f>F330</f>
        <v>7185.4432800000004</v>
      </c>
      <c r="G328" s="191">
        <f>G330</f>
        <v>7365.0793619999995</v>
      </c>
      <c r="H328" s="192">
        <f>H330</f>
        <v>7544.7154440000004</v>
      </c>
    </row>
    <row r="329" spans="1:8" s="55" customFormat="1" ht="15.75" x14ac:dyDescent="0.25">
      <c r="A329" s="75" t="s">
        <v>31</v>
      </c>
      <c r="B329" s="5" t="s">
        <v>109</v>
      </c>
      <c r="C329" s="5" t="s">
        <v>66</v>
      </c>
      <c r="D329" s="5"/>
      <c r="E329" s="5"/>
      <c r="F329" s="191">
        <f t="shared" ref="F329:H330" si="72">F330</f>
        <v>7185.4432800000004</v>
      </c>
      <c r="G329" s="191">
        <f t="shared" si="72"/>
        <v>7365.0793619999995</v>
      </c>
      <c r="H329" s="192">
        <f t="shared" si="72"/>
        <v>7544.7154440000004</v>
      </c>
    </row>
    <row r="330" spans="1:8" s="55" customFormat="1" ht="15.75" x14ac:dyDescent="0.25">
      <c r="A330" s="10" t="s">
        <v>67</v>
      </c>
      <c r="B330" s="5" t="s">
        <v>109</v>
      </c>
      <c r="C330" s="5" t="s">
        <v>68</v>
      </c>
      <c r="D330" s="5"/>
      <c r="E330" s="5"/>
      <c r="F330" s="191">
        <f t="shared" si="72"/>
        <v>7185.4432800000004</v>
      </c>
      <c r="G330" s="191">
        <f t="shared" si="72"/>
        <v>7365.0793619999995</v>
      </c>
      <c r="H330" s="192">
        <f t="shared" si="72"/>
        <v>7544.7154440000004</v>
      </c>
    </row>
    <row r="331" spans="1:8" s="55" customFormat="1" ht="15.75" x14ac:dyDescent="0.25">
      <c r="A331" s="10" t="s">
        <v>110</v>
      </c>
      <c r="B331" s="5" t="s">
        <v>109</v>
      </c>
      <c r="C331" s="5" t="s">
        <v>68</v>
      </c>
      <c r="D331" s="5" t="s">
        <v>57</v>
      </c>
      <c r="E331" s="5" t="s">
        <v>30</v>
      </c>
      <c r="F331" s="191">
        <f>пр.4!G183</f>
        <v>7185.4432800000004</v>
      </c>
      <c r="G331" s="191">
        <f>пр.4!H183</f>
        <v>7365.0793619999995</v>
      </c>
      <c r="H331" s="192">
        <f>пр.4!I183</f>
        <v>7544.7154440000004</v>
      </c>
    </row>
    <row r="332" spans="1:8" s="55" customFormat="1" ht="15.75" x14ac:dyDescent="0.25">
      <c r="A332" s="9" t="s">
        <v>111</v>
      </c>
      <c r="B332" s="5" t="s">
        <v>112</v>
      </c>
      <c r="C332" s="5"/>
      <c r="D332" s="5"/>
      <c r="E332" s="5"/>
      <c r="F332" s="191">
        <f>F334</f>
        <v>913.04813999999999</v>
      </c>
      <c r="G332" s="191">
        <f>G334</f>
        <v>1098.68</v>
      </c>
      <c r="H332" s="192">
        <f>H334</f>
        <v>1208.548</v>
      </c>
    </row>
    <row r="333" spans="1:8" s="55" customFormat="1" ht="15.75" x14ac:dyDescent="0.25">
      <c r="A333" s="75" t="s">
        <v>31</v>
      </c>
      <c r="B333" s="5" t="s">
        <v>112</v>
      </c>
      <c r="C333" s="5" t="s">
        <v>66</v>
      </c>
      <c r="D333" s="5"/>
      <c r="E333" s="5"/>
      <c r="F333" s="191">
        <f t="shared" ref="F333:H334" si="73">F334</f>
        <v>913.04813999999999</v>
      </c>
      <c r="G333" s="191">
        <f t="shared" si="73"/>
        <v>1098.68</v>
      </c>
      <c r="H333" s="192">
        <f t="shared" si="73"/>
        <v>1208.548</v>
      </c>
    </row>
    <row r="334" spans="1:8" s="55" customFormat="1" ht="15.75" x14ac:dyDescent="0.25">
      <c r="A334" s="10" t="s">
        <v>67</v>
      </c>
      <c r="B334" s="5" t="s">
        <v>112</v>
      </c>
      <c r="C334" s="5" t="s">
        <v>68</v>
      </c>
      <c r="D334" s="5"/>
      <c r="E334" s="5"/>
      <c r="F334" s="191">
        <f t="shared" si="73"/>
        <v>913.04813999999999</v>
      </c>
      <c r="G334" s="191">
        <f t="shared" si="73"/>
        <v>1098.68</v>
      </c>
      <c r="H334" s="192">
        <f t="shared" si="73"/>
        <v>1208.548</v>
      </c>
    </row>
    <row r="335" spans="1:8" s="55" customFormat="1" ht="15.75" x14ac:dyDescent="0.25">
      <c r="A335" s="10" t="s">
        <v>110</v>
      </c>
      <c r="B335" s="5" t="s">
        <v>112</v>
      </c>
      <c r="C335" s="5" t="s">
        <v>68</v>
      </c>
      <c r="D335" s="5" t="s">
        <v>57</v>
      </c>
      <c r="E335" s="5" t="s">
        <v>30</v>
      </c>
      <c r="F335" s="191">
        <f>пр.4!G180</f>
        <v>913.04813999999999</v>
      </c>
      <c r="G335" s="191">
        <f>пр.4!H180</f>
        <v>1098.68</v>
      </c>
      <c r="H335" s="192">
        <f>пр.4!I180</f>
        <v>1208.548</v>
      </c>
    </row>
    <row r="336" spans="1:8" s="55" customFormat="1" ht="15.75" x14ac:dyDescent="0.25">
      <c r="A336" s="124" t="s">
        <v>113</v>
      </c>
      <c r="B336" s="7" t="s">
        <v>114</v>
      </c>
      <c r="C336" s="7"/>
      <c r="D336" s="7"/>
      <c r="E336" s="7"/>
      <c r="F336" s="221">
        <f>F338</f>
        <v>2538.8760000000002</v>
      </c>
      <c r="G336" s="221">
        <f>G338</f>
        <v>2256.7440000000001</v>
      </c>
      <c r="H336" s="222">
        <f>H338</f>
        <v>2256.7440000000001</v>
      </c>
    </row>
    <row r="337" spans="1:8" s="55" customFormat="1" ht="15.75" x14ac:dyDescent="0.25">
      <c r="A337" s="124" t="s">
        <v>39</v>
      </c>
      <c r="B337" s="7" t="s">
        <v>114</v>
      </c>
      <c r="C337" s="7" t="s">
        <v>115</v>
      </c>
      <c r="D337" s="7"/>
      <c r="E337" s="7"/>
      <c r="F337" s="221">
        <f t="shared" ref="F337:H338" si="74">F338</f>
        <v>2538.8760000000002</v>
      </c>
      <c r="G337" s="221">
        <f t="shared" si="74"/>
        <v>2256.7440000000001</v>
      </c>
      <c r="H337" s="222">
        <f t="shared" si="74"/>
        <v>2256.7440000000001</v>
      </c>
    </row>
    <row r="338" spans="1:8" s="55" customFormat="1" ht="15.75" x14ac:dyDescent="0.25">
      <c r="A338" s="224" t="s">
        <v>135</v>
      </c>
      <c r="B338" s="7" t="s">
        <v>114</v>
      </c>
      <c r="C338" s="7" t="s">
        <v>116</v>
      </c>
      <c r="D338" s="7"/>
      <c r="E338" s="7"/>
      <c r="F338" s="221">
        <f t="shared" si="74"/>
        <v>2538.8760000000002</v>
      </c>
      <c r="G338" s="221">
        <f t="shared" si="74"/>
        <v>2256.7440000000001</v>
      </c>
      <c r="H338" s="222">
        <f t="shared" si="74"/>
        <v>2256.7440000000001</v>
      </c>
    </row>
    <row r="339" spans="1:8" s="55" customFormat="1" ht="16.5" thickBot="1" x14ac:dyDescent="0.3">
      <c r="A339" s="353" t="s">
        <v>117</v>
      </c>
      <c r="B339" s="225" t="s">
        <v>114</v>
      </c>
      <c r="C339" s="225" t="s">
        <v>116</v>
      </c>
      <c r="D339" s="225" t="s">
        <v>118</v>
      </c>
      <c r="E339" s="225" t="s">
        <v>30</v>
      </c>
      <c r="F339" s="226">
        <f>пр.4!G285</f>
        <v>2538.8760000000002</v>
      </c>
      <c r="G339" s="226">
        <f>пр.4!H285</f>
        <v>2256.7440000000001</v>
      </c>
      <c r="H339" s="227">
        <f>пр.4!I285</f>
        <v>2256.7440000000001</v>
      </c>
    </row>
  </sheetData>
  <autoFilter ref="A27:H339" xr:uid="{E9B44CED-E033-41B0-8AFD-28550037C12F}"/>
  <mergeCells count="8">
    <mergeCell ref="A22:H22"/>
    <mergeCell ref="A23:H23"/>
    <mergeCell ref="A24:H24"/>
    <mergeCell ref="A26:A27"/>
    <mergeCell ref="B26:B27"/>
    <mergeCell ref="C26:C27"/>
    <mergeCell ref="D26:D27"/>
    <mergeCell ref="E26:E27"/>
  </mergeCells>
  <printOptions horizontalCentered="1"/>
  <pageMargins left="0" right="0" top="1.1811023622047245" bottom="0.39370078740157483" header="0" footer="0"/>
  <pageSetup paperSize="9" scale="61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35"/>
  <sheetViews>
    <sheetView view="pageBreakPreview" topLeftCell="A22" zoomScale="145" zoomScaleNormal="100" zoomScaleSheetLayoutView="145" workbookViewId="0">
      <selection activeCell="A39" sqref="A39"/>
    </sheetView>
  </sheetViews>
  <sheetFormatPr defaultColWidth="9" defaultRowHeight="15.75" x14ac:dyDescent="0.25"/>
  <cols>
    <col min="1" max="1" width="83.28515625" style="791" customWidth="1"/>
    <col min="2" max="2" width="6.28515625" style="792" customWidth="1"/>
    <col min="3" max="3" width="6.7109375" style="793" customWidth="1"/>
    <col min="4" max="4" width="6.7109375" style="792" customWidth="1"/>
    <col min="5" max="5" width="16.28515625" style="792" customWidth="1"/>
    <col min="6" max="6" width="6.85546875" style="792" customWidth="1"/>
    <col min="7" max="7" width="14.28515625" style="1005" customWidth="1"/>
    <col min="8" max="8" width="13.7109375" style="796" bestFit="1" customWidth="1"/>
    <col min="9" max="9" width="13.7109375" style="791" customWidth="1"/>
    <col min="10" max="16384" width="9" style="791"/>
  </cols>
  <sheetData>
    <row r="1" spans="1:9" x14ac:dyDescent="0.25">
      <c r="E1" s="794"/>
      <c r="F1" s="794"/>
      <c r="G1" s="795" t="s">
        <v>437</v>
      </c>
    </row>
    <row r="2" spans="1:9" x14ac:dyDescent="0.25">
      <c r="E2" s="794"/>
      <c r="F2" s="794"/>
      <c r="G2" s="795" t="s">
        <v>285</v>
      </c>
    </row>
    <row r="3" spans="1:9" x14ac:dyDescent="0.25">
      <c r="E3" s="794"/>
      <c r="F3" s="794"/>
      <c r="G3" s="795" t="s">
        <v>9</v>
      </c>
    </row>
    <row r="4" spans="1:9" x14ac:dyDescent="0.25">
      <c r="E4" s="794"/>
      <c r="F4" s="794"/>
      <c r="G4" s="795" t="s">
        <v>390</v>
      </c>
    </row>
    <row r="5" spans="1:9" x14ac:dyDescent="0.25">
      <c r="E5" s="794"/>
      <c r="F5" s="794"/>
      <c r="G5" s="795" t="s">
        <v>3</v>
      </c>
    </row>
    <row r="6" spans="1:9" x14ac:dyDescent="0.25">
      <c r="E6" s="794"/>
      <c r="F6" s="794"/>
      <c r="G6" s="795" t="str">
        <f>пр.1!D6</f>
        <v>от 10.03.2026 №___</v>
      </c>
    </row>
    <row r="7" spans="1:9" x14ac:dyDescent="0.25">
      <c r="E7" s="794"/>
      <c r="F7" s="794"/>
      <c r="G7" s="795"/>
    </row>
    <row r="8" spans="1:9" x14ac:dyDescent="0.25">
      <c r="E8" s="794"/>
      <c r="F8" s="794"/>
      <c r="G8" s="795" t="s">
        <v>438</v>
      </c>
    </row>
    <row r="9" spans="1:9" x14ac:dyDescent="0.25">
      <c r="E9" s="794"/>
      <c r="F9" s="794"/>
      <c r="G9" s="795" t="s">
        <v>285</v>
      </c>
    </row>
    <row r="10" spans="1:9" x14ac:dyDescent="0.25">
      <c r="E10" s="794"/>
      <c r="F10" s="794"/>
      <c r="G10" s="795" t="s">
        <v>9</v>
      </c>
    </row>
    <row r="11" spans="1:9" x14ac:dyDescent="0.25">
      <c r="E11" s="794"/>
      <c r="F11" s="794"/>
      <c r="G11" s="795" t="s">
        <v>390</v>
      </c>
    </row>
    <row r="12" spans="1:9" x14ac:dyDescent="0.25">
      <c r="E12" s="794"/>
      <c r="F12" s="794"/>
      <c r="G12" s="795" t="s">
        <v>3</v>
      </c>
    </row>
    <row r="13" spans="1:9" x14ac:dyDescent="0.25">
      <c r="E13" s="794"/>
      <c r="F13" s="794"/>
      <c r="G13" s="795" t="str">
        <f>пр.1!D13</f>
        <v>от 25.12.2025 №80</v>
      </c>
    </row>
    <row r="14" spans="1:9" x14ac:dyDescent="0.25">
      <c r="E14" s="794"/>
      <c r="F14" s="794"/>
      <c r="G14" s="797"/>
    </row>
    <row r="15" spans="1:9" s="799" customFormat="1" x14ac:dyDescent="0.25">
      <c r="A15" s="798" t="s">
        <v>462</v>
      </c>
      <c r="B15" s="798"/>
      <c r="C15" s="798"/>
      <c r="D15" s="798"/>
      <c r="E15" s="798"/>
      <c r="F15" s="798"/>
      <c r="G15" s="798"/>
      <c r="H15" s="798"/>
      <c r="I15" s="798"/>
    </row>
    <row r="16" spans="1:9" s="799" customFormat="1" x14ac:dyDescent="0.25">
      <c r="A16" s="798" t="s">
        <v>459</v>
      </c>
      <c r="B16" s="798"/>
      <c r="C16" s="798"/>
      <c r="D16" s="798"/>
      <c r="E16" s="798"/>
      <c r="F16" s="798"/>
      <c r="G16" s="798"/>
      <c r="H16" s="798"/>
      <c r="I16" s="798"/>
    </row>
    <row r="17" spans="1:9" s="799" customFormat="1" x14ac:dyDescent="0.25">
      <c r="A17" s="798" t="s">
        <v>472</v>
      </c>
      <c r="B17" s="798"/>
      <c r="C17" s="798"/>
      <c r="D17" s="798"/>
      <c r="E17" s="798"/>
      <c r="F17" s="798"/>
      <c r="G17" s="798"/>
      <c r="H17" s="798"/>
      <c r="I17" s="798"/>
    </row>
    <row r="18" spans="1:9" s="799" customFormat="1" ht="16.5" thickBot="1" x14ac:dyDescent="0.3">
      <c r="A18" s="800"/>
      <c r="B18" s="800"/>
      <c r="C18" s="800"/>
      <c r="D18" s="800"/>
      <c r="E18" s="800"/>
      <c r="F18" s="800"/>
      <c r="G18" s="801"/>
      <c r="H18" s="802"/>
    </row>
    <row r="19" spans="1:9" s="808" customFormat="1" ht="25.5" x14ac:dyDescent="0.2">
      <c r="A19" s="803" t="s">
        <v>0</v>
      </c>
      <c r="B19" s="804" t="s">
        <v>138</v>
      </c>
      <c r="C19" s="804" t="s">
        <v>20</v>
      </c>
      <c r="D19" s="804" t="s">
        <v>119</v>
      </c>
      <c r="E19" s="804" t="s">
        <v>5</v>
      </c>
      <c r="F19" s="804" t="s">
        <v>19</v>
      </c>
      <c r="G19" s="805" t="s">
        <v>445</v>
      </c>
      <c r="H19" s="806" t="s">
        <v>445</v>
      </c>
      <c r="I19" s="807" t="s">
        <v>445</v>
      </c>
    </row>
    <row r="20" spans="1:9" s="808" customFormat="1" ht="13.5" thickBot="1" x14ac:dyDescent="0.25">
      <c r="A20" s="809"/>
      <c r="B20" s="810"/>
      <c r="C20" s="810"/>
      <c r="D20" s="810"/>
      <c r="E20" s="810"/>
      <c r="F20" s="810"/>
      <c r="G20" s="811" t="s">
        <v>317</v>
      </c>
      <c r="H20" s="812" t="s">
        <v>343</v>
      </c>
      <c r="I20" s="813" t="s">
        <v>473</v>
      </c>
    </row>
    <row r="21" spans="1:9" s="820" customFormat="1" ht="13.5" thickBot="1" x14ac:dyDescent="0.25">
      <c r="A21" s="814" t="s">
        <v>1</v>
      </c>
      <c r="B21" s="815"/>
      <c r="C21" s="816"/>
      <c r="D21" s="816"/>
      <c r="E21" s="816"/>
      <c r="F21" s="816"/>
      <c r="G21" s="817">
        <f>G318+G22</f>
        <v>543868.28249999997</v>
      </c>
      <c r="H21" s="818">
        <f>H318+H22</f>
        <v>300886.59135200002</v>
      </c>
      <c r="I21" s="819">
        <f>I318+I22</f>
        <v>315964.72843400005</v>
      </c>
    </row>
    <row r="22" spans="1:9" s="820" customFormat="1" ht="26.25" thickBot="1" x14ac:dyDescent="0.25">
      <c r="A22" s="821" t="s">
        <v>426</v>
      </c>
      <c r="B22" s="822" t="s">
        <v>8</v>
      </c>
      <c r="C22" s="823"/>
      <c r="D22" s="823"/>
      <c r="E22" s="823"/>
      <c r="F22" s="823"/>
      <c r="G22" s="824">
        <f>G23+G76+G86+G130+G173+G240+G255+G278+G293</f>
        <v>536871.04304999998</v>
      </c>
      <c r="H22" s="825">
        <f>H23+H76+H86+H130+H173+H240+H255+H279+H286+H293</f>
        <v>294187.85190200002</v>
      </c>
      <c r="I22" s="826">
        <f>I23+I76+I86+I130+I173+I240+I255+I278+I293</f>
        <v>309265.98898400005</v>
      </c>
    </row>
    <row r="23" spans="1:9" s="820" customFormat="1" ht="14.25" thickBot="1" x14ac:dyDescent="0.25">
      <c r="A23" s="827" t="s">
        <v>120</v>
      </c>
      <c r="B23" s="828"/>
      <c r="C23" s="828" t="s">
        <v>30</v>
      </c>
      <c r="D23" s="829"/>
      <c r="E23" s="829"/>
      <c r="F23" s="829"/>
      <c r="G23" s="830">
        <f>SUM(G24+G46+G53+G60)</f>
        <v>73100.266640000002</v>
      </c>
      <c r="H23" s="831">
        <f>SUM(H24+H46+H53+H60)</f>
        <v>67563.949080000006</v>
      </c>
      <c r="I23" s="832">
        <f>SUM(I24+I46+I53+I60)</f>
        <v>68521.062080000003</v>
      </c>
    </row>
    <row r="24" spans="1:9" s="838" customFormat="1" ht="27.75" thickBot="1" x14ac:dyDescent="0.3">
      <c r="A24" s="833" t="s">
        <v>331</v>
      </c>
      <c r="B24" s="834"/>
      <c r="C24" s="834" t="s">
        <v>30</v>
      </c>
      <c r="D24" s="834" t="s">
        <v>36</v>
      </c>
      <c r="E24" s="834"/>
      <c r="F24" s="834"/>
      <c r="G24" s="835">
        <f>G25</f>
        <v>63502.094129999998</v>
      </c>
      <c r="H24" s="836">
        <f>H25</f>
        <v>61180.099580000002</v>
      </c>
      <c r="I24" s="837">
        <f>I25</f>
        <v>61688.691580000006</v>
      </c>
    </row>
    <row r="25" spans="1:9" s="838" customFormat="1" ht="25.5" x14ac:dyDescent="0.25">
      <c r="A25" s="839" t="s">
        <v>10</v>
      </c>
      <c r="B25" s="840"/>
      <c r="C25" s="840" t="s">
        <v>30</v>
      </c>
      <c r="D25" s="840" t="s">
        <v>36</v>
      </c>
      <c r="E25" s="840" t="s">
        <v>11</v>
      </c>
      <c r="F25" s="840"/>
      <c r="G25" s="841">
        <f>SUM(G26+G41)</f>
        <v>63502.094129999998</v>
      </c>
      <c r="H25" s="842">
        <f>SUM(H26+H41)</f>
        <v>61180.099580000002</v>
      </c>
      <c r="I25" s="843">
        <f>SUM(I26+I41)</f>
        <v>61688.691580000006</v>
      </c>
    </row>
    <row r="26" spans="1:9" s="838" customFormat="1" ht="25.5" x14ac:dyDescent="0.25">
      <c r="A26" s="844" t="s">
        <v>385</v>
      </c>
      <c r="B26" s="845"/>
      <c r="C26" s="845" t="s">
        <v>30</v>
      </c>
      <c r="D26" s="845" t="s">
        <v>36</v>
      </c>
      <c r="E26" s="845" t="s">
        <v>12</v>
      </c>
      <c r="F26" s="845"/>
      <c r="G26" s="846">
        <f>SUM(G27)</f>
        <v>60730.546259999996</v>
      </c>
      <c r="H26" s="847">
        <f>SUM(H27)</f>
        <v>58408.55171</v>
      </c>
      <c r="I26" s="848">
        <f>SUM(I27)</f>
        <v>58917.143710000004</v>
      </c>
    </row>
    <row r="27" spans="1:9" s="838" customFormat="1" ht="13.5" x14ac:dyDescent="0.25">
      <c r="A27" s="849" t="s">
        <v>13</v>
      </c>
      <c r="B27" s="850"/>
      <c r="C27" s="851" t="s">
        <v>30</v>
      </c>
      <c r="D27" s="851" t="s">
        <v>36</v>
      </c>
      <c r="E27" s="851" t="s">
        <v>14</v>
      </c>
      <c r="F27" s="850"/>
      <c r="G27" s="852">
        <f>SUM(G28+G39+G35)</f>
        <v>60730.546259999996</v>
      </c>
      <c r="H27" s="853">
        <f>SUM(H28+H39+H35)</f>
        <v>58408.55171</v>
      </c>
      <c r="I27" s="854">
        <f>SUM(I28+I39+I35)</f>
        <v>58917.143710000004</v>
      </c>
    </row>
    <row r="28" spans="1:9" s="820" customFormat="1" ht="12.75" x14ac:dyDescent="0.2">
      <c r="A28" s="849" t="s">
        <v>70</v>
      </c>
      <c r="B28" s="851"/>
      <c r="C28" s="851" t="s">
        <v>30</v>
      </c>
      <c r="D28" s="851" t="s">
        <v>36</v>
      </c>
      <c r="E28" s="851" t="s">
        <v>121</v>
      </c>
      <c r="F28" s="850"/>
      <c r="G28" s="852">
        <f>G29+G31+G33</f>
        <v>59820.326260000002</v>
      </c>
      <c r="H28" s="853">
        <f>H29+H31+H33</f>
        <v>58408.55171</v>
      </c>
      <c r="I28" s="854">
        <f>I29+I31+I33</f>
        <v>58917.143710000004</v>
      </c>
    </row>
    <row r="29" spans="1:9" s="820" customFormat="1" ht="38.25" x14ac:dyDescent="0.2">
      <c r="A29" s="855" t="s">
        <v>409</v>
      </c>
      <c r="B29" s="851"/>
      <c r="C29" s="851" t="s">
        <v>30</v>
      </c>
      <c r="D29" s="851" t="s">
        <v>36</v>
      </c>
      <c r="E29" s="851" t="s">
        <v>121</v>
      </c>
      <c r="F29" s="851" t="s">
        <v>72</v>
      </c>
      <c r="G29" s="852">
        <f>G30</f>
        <v>50134.752110000001</v>
      </c>
      <c r="H29" s="853">
        <f>H30</f>
        <v>50134.752110000001</v>
      </c>
      <c r="I29" s="854">
        <f>I30</f>
        <v>50134.752110000001</v>
      </c>
    </row>
    <row r="30" spans="1:9" s="820" customFormat="1" ht="12.75" x14ac:dyDescent="0.2">
      <c r="A30" s="855" t="s">
        <v>73</v>
      </c>
      <c r="B30" s="851"/>
      <c r="C30" s="851" t="s">
        <v>30</v>
      </c>
      <c r="D30" s="851" t="s">
        <v>36</v>
      </c>
      <c r="E30" s="851" t="s">
        <v>121</v>
      </c>
      <c r="F30" s="851" t="s">
        <v>74</v>
      </c>
      <c r="G30" s="852">
        <v>50134.752110000001</v>
      </c>
      <c r="H30" s="853">
        <v>50134.752110000001</v>
      </c>
      <c r="I30" s="854">
        <f>H30</f>
        <v>50134.752110000001</v>
      </c>
    </row>
    <row r="31" spans="1:9" s="820" customFormat="1" ht="12.75" x14ac:dyDescent="0.2">
      <c r="A31" s="855" t="s">
        <v>31</v>
      </c>
      <c r="B31" s="851"/>
      <c r="C31" s="851" t="s">
        <v>30</v>
      </c>
      <c r="D31" s="851" t="s">
        <v>36</v>
      </c>
      <c r="E31" s="851" t="s">
        <v>121</v>
      </c>
      <c r="F31" s="851" t="s">
        <v>66</v>
      </c>
      <c r="G31" s="852">
        <f>G32</f>
        <v>9193.7745999999988</v>
      </c>
      <c r="H31" s="853">
        <f>H32</f>
        <v>7916.7995999999994</v>
      </c>
      <c r="I31" s="854">
        <f>I32</f>
        <v>8425.3916000000008</v>
      </c>
    </row>
    <row r="32" spans="1:9" s="820" customFormat="1" ht="12.75" x14ac:dyDescent="0.2">
      <c r="A32" s="855" t="s">
        <v>67</v>
      </c>
      <c r="B32" s="851"/>
      <c r="C32" s="851" t="s">
        <v>30</v>
      </c>
      <c r="D32" s="851" t="s">
        <v>36</v>
      </c>
      <c r="E32" s="851" t="s">
        <v>121</v>
      </c>
      <c r="F32" s="851" t="s">
        <v>68</v>
      </c>
      <c r="G32" s="852">
        <f>8315.97404+877.80056</f>
        <v>9193.7745999999988</v>
      </c>
      <c r="H32" s="853">
        <f>8184.878-85.2784-182.8</f>
        <v>7916.7995999999994</v>
      </c>
      <c r="I32" s="854">
        <f>8606.08-85.2784+87.39-182.8</f>
        <v>8425.3916000000008</v>
      </c>
    </row>
    <row r="33" spans="1:9" s="808" customFormat="1" ht="12.75" x14ac:dyDescent="0.2">
      <c r="A33" s="855" t="s">
        <v>33</v>
      </c>
      <c r="B33" s="851"/>
      <c r="C33" s="851" t="s">
        <v>30</v>
      </c>
      <c r="D33" s="851" t="s">
        <v>36</v>
      </c>
      <c r="E33" s="851" t="s">
        <v>121</v>
      </c>
      <c r="F33" s="851" t="s">
        <v>75</v>
      </c>
      <c r="G33" s="852">
        <f>G34</f>
        <v>491.79955000000001</v>
      </c>
      <c r="H33" s="853">
        <f>H34</f>
        <v>357</v>
      </c>
      <c r="I33" s="854">
        <f>I34</f>
        <v>357</v>
      </c>
    </row>
    <row r="34" spans="1:9" s="808" customFormat="1" ht="12.75" x14ac:dyDescent="0.2">
      <c r="A34" s="855" t="s">
        <v>76</v>
      </c>
      <c r="B34" s="851"/>
      <c r="C34" s="851" t="s">
        <v>30</v>
      </c>
      <c r="D34" s="851" t="s">
        <v>36</v>
      </c>
      <c r="E34" s="851" t="s">
        <v>121</v>
      </c>
      <c r="F34" s="851" t="s">
        <v>77</v>
      </c>
      <c r="G34" s="852">
        <v>491.79955000000001</v>
      </c>
      <c r="H34" s="853">
        <v>357</v>
      </c>
      <c r="I34" s="854">
        <v>357</v>
      </c>
    </row>
    <row r="35" spans="1:9" s="808" customFormat="1" ht="25.5" x14ac:dyDescent="0.2">
      <c r="A35" s="856" t="s">
        <v>80</v>
      </c>
      <c r="B35" s="851"/>
      <c r="C35" s="851" t="s">
        <v>30</v>
      </c>
      <c r="D35" s="851" t="s">
        <v>36</v>
      </c>
      <c r="E35" s="851" t="s">
        <v>124</v>
      </c>
      <c r="F35" s="851"/>
      <c r="G35" s="852">
        <f t="shared" ref="G35:I36" si="0">G36</f>
        <v>762.7</v>
      </c>
      <c r="H35" s="853">
        <f t="shared" si="0"/>
        <v>0</v>
      </c>
      <c r="I35" s="854">
        <f t="shared" si="0"/>
        <v>0</v>
      </c>
    </row>
    <row r="36" spans="1:9" s="808" customFormat="1" ht="12.75" x14ac:dyDescent="0.2">
      <c r="A36" s="855" t="s">
        <v>123</v>
      </c>
      <c r="B36" s="851"/>
      <c r="C36" s="851" t="s">
        <v>30</v>
      </c>
      <c r="D36" s="851" t="s">
        <v>36</v>
      </c>
      <c r="E36" s="851" t="s">
        <v>124</v>
      </c>
      <c r="F36" s="851" t="s">
        <v>78</v>
      </c>
      <c r="G36" s="852">
        <f t="shared" si="0"/>
        <v>762.7</v>
      </c>
      <c r="H36" s="853">
        <f t="shared" si="0"/>
        <v>0</v>
      </c>
      <c r="I36" s="854">
        <f t="shared" si="0"/>
        <v>0</v>
      </c>
    </row>
    <row r="37" spans="1:9" s="808" customFormat="1" ht="12.75" x14ac:dyDescent="0.2">
      <c r="A37" s="855" t="s">
        <v>79</v>
      </c>
      <c r="B37" s="851"/>
      <c r="C37" s="851" t="s">
        <v>30</v>
      </c>
      <c r="D37" s="851" t="s">
        <v>36</v>
      </c>
      <c r="E37" s="851" t="s">
        <v>124</v>
      </c>
      <c r="F37" s="851" t="s">
        <v>4</v>
      </c>
      <c r="G37" s="852">
        <f>717.6+45.1</f>
        <v>762.7</v>
      </c>
      <c r="H37" s="853">
        <v>0</v>
      </c>
      <c r="I37" s="854">
        <v>0</v>
      </c>
    </row>
    <row r="38" spans="1:9" s="808" customFormat="1" ht="25.5" x14ac:dyDescent="0.2">
      <c r="A38" s="856" t="s">
        <v>122</v>
      </c>
      <c r="B38" s="851"/>
      <c r="C38" s="851" t="s">
        <v>30</v>
      </c>
      <c r="D38" s="851" t="s">
        <v>36</v>
      </c>
      <c r="E38" s="851" t="s">
        <v>18</v>
      </c>
      <c r="F38" s="851"/>
      <c r="G38" s="852">
        <f t="shared" ref="G38:I39" si="1">G39</f>
        <v>147.52000000000001</v>
      </c>
      <c r="H38" s="853">
        <f t="shared" si="1"/>
        <v>0</v>
      </c>
      <c r="I38" s="854">
        <f t="shared" si="1"/>
        <v>0</v>
      </c>
    </row>
    <row r="39" spans="1:9" s="808" customFormat="1" ht="12.75" x14ac:dyDescent="0.2">
      <c r="A39" s="855" t="s">
        <v>123</v>
      </c>
      <c r="B39" s="851"/>
      <c r="C39" s="851" t="s">
        <v>30</v>
      </c>
      <c r="D39" s="851" t="s">
        <v>36</v>
      </c>
      <c r="E39" s="851" t="s">
        <v>18</v>
      </c>
      <c r="F39" s="851" t="s">
        <v>78</v>
      </c>
      <c r="G39" s="852">
        <f t="shared" si="1"/>
        <v>147.52000000000001</v>
      </c>
      <c r="H39" s="853">
        <f t="shared" si="1"/>
        <v>0</v>
      </c>
      <c r="I39" s="854">
        <f t="shared" si="1"/>
        <v>0</v>
      </c>
    </row>
    <row r="40" spans="1:9" s="808" customFormat="1" ht="12.75" x14ac:dyDescent="0.2">
      <c r="A40" s="855" t="s">
        <v>79</v>
      </c>
      <c r="B40" s="851"/>
      <c r="C40" s="851" t="s">
        <v>30</v>
      </c>
      <c r="D40" s="851" t="s">
        <v>36</v>
      </c>
      <c r="E40" s="851" t="s">
        <v>18</v>
      </c>
      <c r="F40" s="851" t="s">
        <v>4</v>
      </c>
      <c r="G40" s="852">
        <v>147.52000000000001</v>
      </c>
      <c r="H40" s="853">
        <v>0</v>
      </c>
      <c r="I40" s="854">
        <v>0</v>
      </c>
    </row>
    <row r="41" spans="1:9" s="820" customFormat="1" ht="38.25" x14ac:dyDescent="0.2">
      <c r="A41" s="844" t="s">
        <v>432</v>
      </c>
      <c r="B41" s="845"/>
      <c r="C41" s="845" t="s">
        <v>30</v>
      </c>
      <c r="D41" s="845" t="s">
        <v>36</v>
      </c>
      <c r="E41" s="845" t="s">
        <v>82</v>
      </c>
      <c r="F41" s="857"/>
      <c r="G41" s="846">
        <f>G42</f>
        <v>2771.5478699999999</v>
      </c>
      <c r="H41" s="847">
        <f>H42</f>
        <v>2771.5478699999999</v>
      </c>
      <c r="I41" s="848">
        <f>I42</f>
        <v>2771.5478699999999</v>
      </c>
    </row>
    <row r="42" spans="1:9" s="820" customFormat="1" ht="12.75" x14ac:dyDescent="0.2">
      <c r="A42" s="849" t="s">
        <v>13</v>
      </c>
      <c r="B42" s="851"/>
      <c r="C42" s="851" t="s">
        <v>30</v>
      </c>
      <c r="D42" s="851" t="s">
        <v>36</v>
      </c>
      <c r="E42" s="851" t="s">
        <v>83</v>
      </c>
      <c r="F42" s="850"/>
      <c r="G42" s="852">
        <f>SUM(G43)</f>
        <v>2771.5478699999999</v>
      </c>
      <c r="H42" s="853">
        <f>SUM(H43)</f>
        <v>2771.5478699999999</v>
      </c>
      <c r="I42" s="854">
        <f>SUM(I43)</f>
        <v>2771.5478699999999</v>
      </c>
    </row>
    <row r="43" spans="1:9" s="820" customFormat="1" ht="25.5" x14ac:dyDescent="0.2">
      <c r="A43" s="849" t="s">
        <v>84</v>
      </c>
      <c r="B43" s="851"/>
      <c r="C43" s="851" t="s">
        <v>30</v>
      </c>
      <c r="D43" s="851" t="s">
        <v>36</v>
      </c>
      <c r="E43" s="851" t="s">
        <v>85</v>
      </c>
      <c r="F43" s="850"/>
      <c r="G43" s="852">
        <f>SUM(G45)</f>
        <v>2771.5478699999999</v>
      </c>
      <c r="H43" s="853">
        <f>SUM(H45)</f>
        <v>2771.5478699999999</v>
      </c>
      <c r="I43" s="854">
        <f>SUM(I45)</f>
        <v>2771.5478699999999</v>
      </c>
    </row>
    <row r="44" spans="1:9" s="808" customFormat="1" ht="38.25" x14ac:dyDescent="0.2">
      <c r="A44" s="855" t="s">
        <v>409</v>
      </c>
      <c r="B44" s="851"/>
      <c r="C44" s="851" t="s">
        <v>30</v>
      </c>
      <c r="D44" s="851" t="s">
        <v>36</v>
      </c>
      <c r="E44" s="851" t="s">
        <v>85</v>
      </c>
      <c r="F44" s="851" t="s">
        <v>72</v>
      </c>
      <c r="G44" s="852">
        <f>G45</f>
        <v>2771.5478699999999</v>
      </c>
      <c r="H44" s="853">
        <f>H45</f>
        <v>2771.5478699999999</v>
      </c>
      <c r="I44" s="854">
        <f>I45</f>
        <v>2771.5478699999999</v>
      </c>
    </row>
    <row r="45" spans="1:9" s="808" customFormat="1" ht="13.5" thickBot="1" x14ac:dyDescent="0.25">
      <c r="A45" s="858" t="s">
        <v>73</v>
      </c>
      <c r="B45" s="811"/>
      <c r="C45" s="811" t="s">
        <v>30</v>
      </c>
      <c r="D45" s="811" t="s">
        <v>36</v>
      </c>
      <c r="E45" s="811" t="s">
        <v>85</v>
      </c>
      <c r="F45" s="811" t="s">
        <v>74</v>
      </c>
      <c r="G45" s="859">
        <f>2063.187+623.08247+85.2784</f>
        <v>2771.5478699999999</v>
      </c>
      <c r="H45" s="860">
        <f>G45</f>
        <v>2771.5478699999999</v>
      </c>
      <c r="I45" s="861">
        <f>H45</f>
        <v>2771.5478699999999</v>
      </c>
    </row>
    <row r="46" spans="1:9" s="808" customFormat="1" ht="27.75" thickBot="1" x14ac:dyDescent="0.25">
      <c r="A46" s="833" t="s">
        <v>6</v>
      </c>
      <c r="B46" s="834"/>
      <c r="C46" s="834" t="s">
        <v>30</v>
      </c>
      <c r="D46" s="834" t="s">
        <v>81</v>
      </c>
      <c r="E46" s="834"/>
      <c r="F46" s="834"/>
      <c r="G46" s="835">
        <f>G47</f>
        <v>1419.704</v>
      </c>
      <c r="H46" s="836">
        <f>H47</f>
        <v>0</v>
      </c>
      <c r="I46" s="837">
        <f>I47</f>
        <v>0</v>
      </c>
    </row>
    <row r="47" spans="1:9" s="808" customFormat="1" ht="25.5" x14ac:dyDescent="0.2">
      <c r="A47" s="839" t="s">
        <v>125</v>
      </c>
      <c r="B47" s="840"/>
      <c r="C47" s="840" t="s">
        <v>30</v>
      </c>
      <c r="D47" s="840" t="s">
        <v>81</v>
      </c>
      <c r="E47" s="840" t="s">
        <v>11</v>
      </c>
      <c r="F47" s="840"/>
      <c r="G47" s="841">
        <f>G50</f>
        <v>1419.704</v>
      </c>
      <c r="H47" s="842">
        <f>H50</f>
        <v>0</v>
      </c>
      <c r="I47" s="843">
        <f>I50</f>
        <v>0</v>
      </c>
    </row>
    <row r="48" spans="1:9" s="808" customFormat="1" ht="25.5" x14ac:dyDescent="0.2">
      <c r="A48" s="844" t="s">
        <v>385</v>
      </c>
      <c r="B48" s="857"/>
      <c r="C48" s="845" t="s">
        <v>30</v>
      </c>
      <c r="D48" s="845" t="s">
        <v>81</v>
      </c>
      <c r="E48" s="845" t="s">
        <v>12</v>
      </c>
      <c r="F48" s="857"/>
      <c r="G48" s="846">
        <f t="shared" ref="G48:I49" si="2">SUM(G49)</f>
        <v>1419.704</v>
      </c>
      <c r="H48" s="847">
        <f t="shared" si="2"/>
        <v>0</v>
      </c>
      <c r="I48" s="848">
        <f t="shared" si="2"/>
        <v>0</v>
      </c>
    </row>
    <row r="49" spans="1:9" s="808" customFormat="1" ht="12.75" x14ac:dyDescent="0.2">
      <c r="A49" s="849" t="s">
        <v>13</v>
      </c>
      <c r="B49" s="850"/>
      <c r="C49" s="851" t="s">
        <v>30</v>
      </c>
      <c r="D49" s="851" t="s">
        <v>81</v>
      </c>
      <c r="E49" s="851" t="s">
        <v>14</v>
      </c>
      <c r="F49" s="850"/>
      <c r="G49" s="852">
        <f t="shared" si="2"/>
        <v>1419.704</v>
      </c>
      <c r="H49" s="853">
        <f t="shared" si="2"/>
        <v>0</v>
      </c>
      <c r="I49" s="854">
        <f t="shared" si="2"/>
        <v>0</v>
      </c>
    </row>
    <row r="50" spans="1:9" s="808" customFormat="1" ht="25.5" x14ac:dyDescent="0.2">
      <c r="A50" s="856" t="s">
        <v>7</v>
      </c>
      <c r="B50" s="862"/>
      <c r="C50" s="851" t="s">
        <v>30</v>
      </c>
      <c r="D50" s="851" t="s">
        <v>81</v>
      </c>
      <c r="E50" s="851" t="s">
        <v>16</v>
      </c>
      <c r="F50" s="851"/>
      <c r="G50" s="852">
        <f>G52</f>
        <v>1419.704</v>
      </c>
      <c r="H50" s="853">
        <f>H52</f>
        <v>0</v>
      </c>
      <c r="I50" s="854">
        <f>I52</f>
        <v>0</v>
      </c>
    </row>
    <row r="51" spans="1:9" s="808" customFormat="1" ht="12.75" x14ac:dyDescent="0.2">
      <c r="A51" s="855" t="s">
        <v>123</v>
      </c>
      <c r="B51" s="851"/>
      <c r="C51" s="851" t="s">
        <v>30</v>
      </c>
      <c r="D51" s="851" t="s">
        <v>81</v>
      </c>
      <c r="E51" s="851" t="s">
        <v>16</v>
      </c>
      <c r="F51" s="851" t="s">
        <v>78</v>
      </c>
      <c r="G51" s="852">
        <f>G52</f>
        <v>1419.704</v>
      </c>
      <c r="H51" s="853">
        <f>H52</f>
        <v>0</v>
      </c>
      <c r="I51" s="854">
        <f>I52</f>
        <v>0</v>
      </c>
    </row>
    <row r="52" spans="1:9" s="808" customFormat="1" ht="13.5" thickBot="1" x14ac:dyDescent="0.25">
      <c r="A52" s="855" t="s">
        <v>79</v>
      </c>
      <c r="B52" s="851"/>
      <c r="C52" s="851" t="s">
        <v>30</v>
      </c>
      <c r="D52" s="851" t="s">
        <v>81</v>
      </c>
      <c r="E52" s="851" t="s">
        <v>16</v>
      </c>
      <c r="F52" s="851" t="s">
        <v>4</v>
      </c>
      <c r="G52" s="852">
        <f>1332.337+87.367</f>
        <v>1419.704</v>
      </c>
      <c r="H52" s="853">
        <v>0</v>
      </c>
      <c r="I52" s="854">
        <v>0</v>
      </c>
    </row>
    <row r="53" spans="1:9" s="838" customFormat="1" ht="14.25" thickBot="1" x14ac:dyDescent="0.3">
      <c r="A53" s="833" t="s">
        <v>100</v>
      </c>
      <c r="B53" s="834"/>
      <c r="C53" s="834" t="s">
        <v>30</v>
      </c>
      <c r="D53" s="834" t="s">
        <v>29</v>
      </c>
      <c r="E53" s="834"/>
      <c r="F53" s="834"/>
      <c r="G53" s="835">
        <f>G54</f>
        <v>1000</v>
      </c>
      <c r="H53" s="836">
        <v>1000</v>
      </c>
      <c r="I53" s="837">
        <f>I54</f>
        <v>1000</v>
      </c>
    </row>
    <row r="54" spans="1:9" s="838" customFormat="1" ht="25.5" x14ac:dyDescent="0.25">
      <c r="A54" s="863" t="s">
        <v>401</v>
      </c>
      <c r="B54" s="840"/>
      <c r="C54" s="840" t="s">
        <v>30</v>
      </c>
      <c r="D54" s="840" t="s">
        <v>29</v>
      </c>
      <c r="E54" s="840" t="s">
        <v>94</v>
      </c>
      <c r="F54" s="840"/>
      <c r="G54" s="841">
        <f>G55</f>
        <v>1000</v>
      </c>
      <c r="H54" s="842">
        <f>H55</f>
        <v>1000</v>
      </c>
      <c r="I54" s="843">
        <f>I55</f>
        <v>1000</v>
      </c>
    </row>
    <row r="55" spans="1:9" s="838" customFormat="1" ht="13.5" x14ac:dyDescent="0.25">
      <c r="A55" s="844" t="s">
        <v>13</v>
      </c>
      <c r="B55" s="857"/>
      <c r="C55" s="845" t="s">
        <v>30</v>
      </c>
      <c r="D55" s="845" t="s">
        <v>29</v>
      </c>
      <c r="E55" s="845" t="s">
        <v>95</v>
      </c>
      <c r="F55" s="857"/>
      <c r="G55" s="846">
        <f t="shared" ref="G55:I56" si="3">SUM(G56)</f>
        <v>1000</v>
      </c>
      <c r="H55" s="847">
        <f t="shared" si="3"/>
        <v>1000</v>
      </c>
      <c r="I55" s="848">
        <f t="shared" si="3"/>
        <v>1000</v>
      </c>
    </row>
    <row r="56" spans="1:9" s="838" customFormat="1" ht="13.5" x14ac:dyDescent="0.25">
      <c r="A56" s="849" t="s">
        <v>13</v>
      </c>
      <c r="B56" s="850"/>
      <c r="C56" s="851" t="s">
        <v>30</v>
      </c>
      <c r="D56" s="851" t="s">
        <v>29</v>
      </c>
      <c r="E56" s="851" t="s">
        <v>96</v>
      </c>
      <c r="F56" s="850"/>
      <c r="G56" s="852">
        <f t="shared" si="3"/>
        <v>1000</v>
      </c>
      <c r="H56" s="853">
        <f t="shared" si="3"/>
        <v>1000</v>
      </c>
      <c r="I56" s="854">
        <f t="shared" si="3"/>
        <v>1000</v>
      </c>
    </row>
    <row r="57" spans="1:9" s="838" customFormat="1" ht="13.5" x14ac:dyDescent="0.25">
      <c r="A57" s="849" t="s">
        <v>424</v>
      </c>
      <c r="B57" s="851"/>
      <c r="C57" s="851" t="s">
        <v>30</v>
      </c>
      <c r="D57" s="851" t="s">
        <v>29</v>
      </c>
      <c r="E57" s="851" t="s">
        <v>97</v>
      </c>
      <c r="F57" s="850"/>
      <c r="G57" s="852">
        <f>G59</f>
        <v>1000</v>
      </c>
      <c r="H57" s="853">
        <f>H59</f>
        <v>1000</v>
      </c>
      <c r="I57" s="854">
        <f>I59</f>
        <v>1000</v>
      </c>
    </row>
    <row r="58" spans="1:9" s="838" customFormat="1" ht="13.5" x14ac:dyDescent="0.25">
      <c r="A58" s="855" t="s">
        <v>33</v>
      </c>
      <c r="B58" s="851"/>
      <c r="C58" s="851" t="s">
        <v>30</v>
      </c>
      <c r="D58" s="851" t="s">
        <v>29</v>
      </c>
      <c r="E58" s="851" t="s">
        <v>97</v>
      </c>
      <c r="F58" s="851" t="s">
        <v>75</v>
      </c>
      <c r="G58" s="852">
        <v>1000</v>
      </c>
      <c r="H58" s="853">
        <v>1000</v>
      </c>
      <c r="I58" s="854">
        <v>1000</v>
      </c>
    </row>
    <row r="59" spans="1:9" s="838" customFormat="1" ht="14.25" thickBot="1" x14ac:dyDescent="0.3">
      <c r="A59" s="858" t="s">
        <v>98</v>
      </c>
      <c r="B59" s="811"/>
      <c r="C59" s="811" t="s">
        <v>30</v>
      </c>
      <c r="D59" s="811" t="s">
        <v>29</v>
      </c>
      <c r="E59" s="811" t="s">
        <v>97</v>
      </c>
      <c r="F59" s="811" t="s">
        <v>99</v>
      </c>
      <c r="G59" s="859">
        <v>1000</v>
      </c>
      <c r="H59" s="860">
        <v>1000</v>
      </c>
      <c r="I59" s="861">
        <v>1000</v>
      </c>
    </row>
    <row r="60" spans="1:9" s="838" customFormat="1" ht="14.25" thickBot="1" x14ac:dyDescent="0.3">
      <c r="A60" s="833" t="s">
        <v>92</v>
      </c>
      <c r="B60" s="834"/>
      <c r="C60" s="834" t="s">
        <v>30</v>
      </c>
      <c r="D60" s="834" t="s">
        <v>93</v>
      </c>
      <c r="E60" s="834"/>
      <c r="F60" s="834"/>
      <c r="G60" s="835">
        <f t="shared" ref="G60:I61" si="4">G61</f>
        <v>7178.4685099999997</v>
      </c>
      <c r="H60" s="836">
        <f t="shared" si="4"/>
        <v>5383.8494999999994</v>
      </c>
      <c r="I60" s="837">
        <f t="shared" si="4"/>
        <v>5832.3705</v>
      </c>
    </row>
    <row r="61" spans="1:9" s="838" customFormat="1" ht="13.5" x14ac:dyDescent="0.25">
      <c r="A61" s="839" t="s">
        <v>86</v>
      </c>
      <c r="B61" s="840"/>
      <c r="C61" s="840" t="s">
        <v>30</v>
      </c>
      <c r="D61" s="840" t="s">
        <v>93</v>
      </c>
      <c r="E61" s="840" t="s">
        <v>87</v>
      </c>
      <c r="F61" s="840"/>
      <c r="G61" s="841">
        <f t="shared" si="4"/>
        <v>7178.4685099999997</v>
      </c>
      <c r="H61" s="842">
        <f t="shared" si="4"/>
        <v>5383.8494999999994</v>
      </c>
      <c r="I61" s="843">
        <f t="shared" si="4"/>
        <v>5832.3705</v>
      </c>
    </row>
    <row r="62" spans="1:9" s="838" customFormat="1" ht="13.5" x14ac:dyDescent="0.25">
      <c r="A62" s="844" t="s">
        <v>13</v>
      </c>
      <c r="B62" s="845"/>
      <c r="C62" s="845" t="s">
        <v>30</v>
      </c>
      <c r="D62" s="845" t="s">
        <v>93</v>
      </c>
      <c r="E62" s="845" t="s">
        <v>88</v>
      </c>
      <c r="F62" s="845"/>
      <c r="G62" s="846">
        <f>SUM(G63)</f>
        <v>7178.4685099999997</v>
      </c>
      <c r="H62" s="847">
        <f>SUM(H63)</f>
        <v>5383.8494999999994</v>
      </c>
      <c r="I62" s="848">
        <f>SUM(I63)</f>
        <v>5832.3705</v>
      </c>
    </row>
    <row r="63" spans="1:9" s="838" customFormat="1" ht="13.5" x14ac:dyDescent="0.25">
      <c r="A63" s="849" t="s">
        <v>13</v>
      </c>
      <c r="B63" s="851"/>
      <c r="C63" s="851" t="s">
        <v>30</v>
      </c>
      <c r="D63" s="851" t="s">
        <v>93</v>
      </c>
      <c r="E63" s="851" t="s">
        <v>89</v>
      </c>
      <c r="F63" s="851"/>
      <c r="G63" s="852">
        <f>SUM(G64)+G73</f>
        <v>7178.4685099999997</v>
      </c>
      <c r="H63" s="853">
        <f>SUM(H64)+H73</f>
        <v>5383.8494999999994</v>
      </c>
      <c r="I63" s="854">
        <f>SUM(I64)+I73</f>
        <v>5832.3705</v>
      </c>
    </row>
    <row r="64" spans="1:9" s="838" customFormat="1" ht="13.5" x14ac:dyDescent="0.25">
      <c r="A64" s="864" t="s">
        <v>90</v>
      </c>
      <c r="B64" s="851"/>
      <c r="C64" s="851" t="s">
        <v>30</v>
      </c>
      <c r="D64" s="851" t="s">
        <v>93</v>
      </c>
      <c r="E64" s="851" t="s">
        <v>91</v>
      </c>
      <c r="F64" s="851"/>
      <c r="G64" s="852">
        <f>G65+G70+G67</f>
        <v>6678.4685099999997</v>
      </c>
      <c r="H64" s="853">
        <f>H65+H70+H67</f>
        <v>4883.8494999999994</v>
      </c>
      <c r="I64" s="854">
        <f>I65+I70+I67</f>
        <v>5332.3705</v>
      </c>
    </row>
    <row r="65" spans="1:9" s="838" customFormat="1" ht="13.5" x14ac:dyDescent="0.25">
      <c r="A65" s="855" t="s">
        <v>31</v>
      </c>
      <c r="B65" s="851"/>
      <c r="C65" s="851" t="s">
        <v>30</v>
      </c>
      <c r="D65" s="851" t="s">
        <v>93</v>
      </c>
      <c r="E65" s="851" t="s">
        <v>91</v>
      </c>
      <c r="F65" s="851" t="s">
        <v>66</v>
      </c>
      <c r="G65" s="852">
        <f>G66</f>
        <v>4235.9920099999999</v>
      </c>
      <c r="H65" s="853">
        <f>H66</f>
        <v>4437.8999999999996</v>
      </c>
      <c r="I65" s="854">
        <f>I66</f>
        <v>4851.6899999999996</v>
      </c>
    </row>
    <row r="66" spans="1:9" s="838" customFormat="1" ht="13.5" x14ac:dyDescent="0.25">
      <c r="A66" s="855" t="s">
        <v>67</v>
      </c>
      <c r="B66" s="851"/>
      <c r="C66" s="851" t="s">
        <v>30</v>
      </c>
      <c r="D66" s="851" t="s">
        <v>93</v>
      </c>
      <c r="E66" s="851" t="s">
        <v>91</v>
      </c>
      <c r="F66" s="851" t="s">
        <v>68</v>
      </c>
      <c r="G66" s="852">
        <f>3293.8+769.20643+172.98558</f>
        <v>4235.9920099999999</v>
      </c>
      <c r="H66" s="853">
        <v>4437.8999999999996</v>
      </c>
      <c r="I66" s="854">
        <v>4851.6899999999996</v>
      </c>
    </row>
    <row r="67" spans="1:9" s="838" customFormat="1" ht="13.5" x14ac:dyDescent="0.25">
      <c r="A67" s="855" t="s">
        <v>39</v>
      </c>
      <c r="B67" s="851"/>
      <c r="C67" s="851" t="s">
        <v>30</v>
      </c>
      <c r="D67" s="851" t="s">
        <v>93</v>
      </c>
      <c r="E67" s="851" t="s">
        <v>91</v>
      </c>
      <c r="F67" s="851" t="s">
        <v>115</v>
      </c>
      <c r="G67" s="852">
        <f>G68+G69</f>
        <v>342.47649999999999</v>
      </c>
      <c r="H67" s="853">
        <f>H68+H69</f>
        <v>369.56950000000001</v>
      </c>
      <c r="I67" s="854">
        <f>I68+I69</f>
        <v>396.66250000000002</v>
      </c>
    </row>
    <row r="68" spans="1:9" s="838" customFormat="1" ht="13.5" x14ac:dyDescent="0.25">
      <c r="A68" s="855" t="s">
        <v>135</v>
      </c>
      <c r="B68" s="851"/>
      <c r="C68" s="851" t="s">
        <v>30</v>
      </c>
      <c r="D68" s="851" t="s">
        <v>93</v>
      </c>
      <c r="E68" s="851" t="s">
        <v>91</v>
      </c>
      <c r="F68" s="851" t="s">
        <v>116</v>
      </c>
      <c r="G68" s="852">
        <v>284.47649999999999</v>
      </c>
      <c r="H68" s="853">
        <v>311.56950000000001</v>
      </c>
      <c r="I68" s="854">
        <v>338.66250000000002</v>
      </c>
    </row>
    <row r="69" spans="1:9" s="838" customFormat="1" ht="13.5" x14ac:dyDescent="0.25">
      <c r="A69" s="855" t="s">
        <v>469</v>
      </c>
      <c r="B69" s="851"/>
      <c r="C69" s="851" t="s">
        <v>30</v>
      </c>
      <c r="D69" s="851" t="s">
        <v>93</v>
      </c>
      <c r="E69" s="851" t="s">
        <v>91</v>
      </c>
      <c r="F69" s="851" t="s">
        <v>468</v>
      </c>
      <c r="G69" s="852">
        <f>56.5+1.5</f>
        <v>58</v>
      </c>
      <c r="H69" s="853">
        <f>G69</f>
        <v>58</v>
      </c>
      <c r="I69" s="854">
        <f>H69</f>
        <v>58</v>
      </c>
    </row>
    <row r="70" spans="1:9" s="838" customFormat="1" ht="13.5" x14ac:dyDescent="0.25">
      <c r="A70" s="855" t="s">
        <v>33</v>
      </c>
      <c r="B70" s="851"/>
      <c r="C70" s="851" t="s">
        <v>30</v>
      </c>
      <c r="D70" s="851" t="s">
        <v>93</v>
      </c>
      <c r="E70" s="851" t="s">
        <v>91</v>
      </c>
      <c r="F70" s="851" t="s">
        <v>75</v>
      </c>
      <c r="G70" s="852">
        <f>G71+G72</f>
        <v>2100</v>
      </c>
      <c r="H70" s="853">
        <f>H71+H72</f>
        <v>76.38</v>
      </c>
      <c r="I70" s="854">
        <f>I71+I72</f>
        <v>84.018000000000001</v>
      </c>
    </row>
    <row r="71" spans="1:9" s="838" customFormat="1" ht="13.5" x14ac:dyDescent="0.25">
      <c r="A71" s="855" t="s">
        <v>471</v>
      </c>
      <c r="B71" s="851"/>
      <c r="C71" s="851" t="s">
        <v>30</v>
      </c>
      <c r="D71" s="851" t="s">
        <v>93</v>
      </c>
      <c r="E71" s="851" t="s">
        <v>91</v>
      </c>
      <c r="F71" s="851" t="s">
        <v>151</v>
      </c>
      <c r="G71" s="852">
        <v>2000</v>
      </c>
      <c r="H71" s="853">
        <v>0</v>
      </c>
      <c r="I71" s="854">
        <v>0</v>
      </c>
    </row>
    <row r="72" spans="1:9" s="838" customFormat="1" ht="13.5" x14ac:dyDescent="0.25">
      <c r="A72" s="855" t="s">
        <v>76</v>
      </c>
      <c r="B72" s="851"/>
      <c r="C72" s="851" t="s">
        <v>30</v>
      </c>
      <c r="D72" s="851" t="s">
        <v>93</v>
      </c>
      <c r="E72" s="851" t="s">
        <v>91</v>
      </c>
      <c r="F72" s="851" t="s">
        <v>77</v>
      </c>
      <c r="G72" s="852">
        <v>100</v>
      </c>
      <c r="H72" s="853">
        <v>76.38</v>
      </c>
      <c r="I72" s="854">
        <v>84.018000000000001</v>
      </c>
    </row>
    <row r="73" spans="1:9" s="838" customFormat="1" ht="13.5" x14ac:dyDescent="0.25">
      <c r="A73" s="864" t="s">
        <v>325</v>
      </c>
      <c r="B73" s="851"/>
      <c r="C73" s="851" t="s">
        <v>30</v>
      </c>
      <c r="D73" s="851" t="s">
        <v>93</v>
      </c>
      <c r="E73" s="865" t="s">
        <v>326</v>
      </c>
      <c r="F73" s="851"/>
      <c r="G73" s="852">
        <f t="shared" ref="G73:I74" si="5">G74</f>
        <v>500</v>
      </c>
      <c r="H73" s="853">
        <f t="shared" si="5"/>
        <v>500</v>
      </c>
      <c r="I73" s="854">
        <f t="shared" si="5"/>
        <v>500</v>
      </c>
    </row>
    <row r="74" spans="1:9" s="838" customFormat="1" ht="13.5" x14ac:dyDescent="0.25">
      <c r="A74" s="866" t="s">
        <v>31</v>
      </c>
      <c r="B74" s="851"/>
      <c r="C74" s="851" t="s">
        <v>30</v>
      </c>
      <c r="D74" s="851" t="s">
        <v>93</v>
      </c>
      <c r="E74" s="865" t="s">
        <v>326</v>
      </c>
      <c r="F74" s="865" t="s">
        <v>66</v>
      </c>
      <c r="G74" s="852">
        <f t="shared" si="5"/>
        <v>500</v>
      </c>
      <c r="H74" s="853">
        <f t="shared" si="5"/>
        <v>500</v>
      </c>
      <c r="I74" s="854">
        <f t="shared" si="5"/>
        <v>500</v>
      </c>
    </row>
    <row r="75" spans="1:9" s="838" customFormat="1" ht="14.25" thickBot="1" x14ac:dyDescent="0.3">
      <c r="A75" s="855" t="s">
        <v>67</v>
      </c>
      <c r="B75" s="851"/>
      <c r="C75" s="851" t="s">
        <v>30</v>
      </c>
      <c r="D75" s="851" t="s">
        <v>93</v>
      </c>
      <c r="E75" s="865" t="s">
        <v>326</v>
      </c>
      <c r="F75" s="865" t="s">
        <v>68</v>
      </c>
      <c r="G75" s="852">
        <v>500</v>
      </c>
      <c r="H75" s="853">
        <v>500</v>
      </c>
      <c r="I75" s="854">
        <v>500</v>
      </c>
    </row>
    <row r="76" spans="1:9" s="838" customFormat="1" ht="14.25" thickBot="1" x14ac:dyDescent="0.3">
      <c r="A76" s="867" t="s">
        <v>126</v>
      </c>
      <c r="B76" s="868"/>
      <c r="C76" s="869" t="s">
        <v>58</v>
      </c>
      <c r="D76" s="870"/>
      <c r="E76" s="868"/>
      <c r="F76" s="868"/>
      <c r="G76" s="871">
        <f t="shared" ref="G76:I84" si="6">G77</f>
        <v>2263.8000000000002</v>
      </c>
      <c r="H76" s="872">
        <f t="shared" si="6"/>
        <v>2517</v>
      </c>
      <c r="I76" s="873">
        <f t="shared" si="6"/>
        <v>3185.6</v>
      </c>
    </row>
    <row r="77" spans="1:9" s="838" customFormat="1" ht="14.25" thickBot="1" x14ac:dyDescent="0.3">
      <c r="A77" s="874" t="s">
        <v>102</v>
      </c>
      <c r="B77" s="875"/>
      <c r="C77" s="876" t="s">
        <v>58</v>
      </c>
      <c r="D77" s="876" t="s">
        <v>40</v>
      </c>
      <c r="E77" s="877"/>
      <c r="F77" s="877"/>
      <c r="G77" s="878">
        <f t="shared" si="6"/>
        <v>2263.8000000000002</v>
      </c>
      <c r="H77" s="879">
        <f t="shared" si="6"/>
        <v>2517</v>
      </c>
      <c r="I77" s="880">
        <f t="shared" si="6"/>
        <v>3185.6</v>
      </c>
    </row>
    <row r="78" spans="1:9" s="838" customFormat="1" ht="25.5" x14ac:dyDescent="0.25">
      <c r="A78" s="881" t="s">
        <v>402</v>
      </c>
      <c r="B78" s="882"/>
      <c r="C78" s="883" t="s">
        <v>58</v>
      </c>
      <c r="D78" s="883" t="s">
        <v>40</v>
      </c>
      <c r="E78" s="884" t="s">
        <v>94</v>
      </c>
      <c r="F78" s="884"/>
      <c r="G78" s="885">
        <f t="shared" si="6"/>
        <v>2263.8000000000002</v>
      </c>
      <c r="H78" s="886">
        <f t="shared" si="6"/>
        <v>2517</v>
      </c>
      <c r="I78" s="887">
        <f t="shared" si="6"/>
        <v>3185.6</v>
      </c>
    </row>
    <row r="79" spans="1:9" s="838" customFormat="1" ht="13.5" x14ac:dyDescent="0.25">
      <c r="A79" s="844" t="s">
        <v>13</v>
      </c>
      <c r="B79" s="845"/>
      <c r="C79" s="888" t="s">
        <v>58</v>
      </c>
      <c r="D79" s="888" t="s">
        <v>40</v>
      </c>
      <c r="E79" s="845" t="s">
        <v>95</v>
      </c>
      <c r="F79" s="857"/>
      <c r="G79" s="846">
        <f t="shared" si="6"/>
        <v>2263.8000000000002</v>
      </c>
      <c r="H79" s="847">
        <f t="shared" si="6"/>
        <v>2517</v>
      </c>
      <c r="I79" s="848">
        <f t="shared" si="6"/>
        <v>3185.6</v>
      </c>
    </row>
    <row r="80" spans="1:9" s="838" customFormat="1" ht="13.5" x14ac:dyDescent="0.25">
      <c r="A80" s="849" t="s">
        <v>13</v>
      </c>
      <c r="B80" s="851"/>
      <c r="C80" s="889" t="s">
        <v>58</v>
      </c>
      <c r="D80" s="889" t="s">
        <v>40</v>
      </c>
      <c r="E80" s="851" t="s">
        <v>96</v>
      </c>
      <c r="F80" s="850"/>
      <c r="G80" s="852">
        <f t="shared" si="6"/>
        <v>2263.8000000000002</v>
      </c>
      <c r="H80" s="853">
        <f t="shared" si="6"/>
        <v>2517</v>
      </c>
      <c r="I80" s="854">
        <f t="shared" si="6"/>
        <v>3185.6</v>
      </c>
    </row>
    <row r="81" spans="1:9" s="838" customFormat="1" ht="25.5" x14ac:dyDescent="0.25">
      <c r="A81" s="849" t="s">
        <v>415</v>
      </c>
      <c r="B81" s="851"/>
      <c r="C81" s="851" t="s">
        <v>58</v>
      </c>
      <c r="D81" s="851" t="s">
        <v>40</v>
      </c>
      <c r="E81" s="851" t="s">
        <v>101</v>
      </c>
      <c r="F81" s="851"/>
      <c r="G81" s="852">
        <f>G82+G84</f>
        <v>2263.8000000000002</v>
      </c>
      <c r="H81" s="853">
        <f>H82+H84</f>
        <v>2517</v>
      </c>
      <c r="I81" s="854">
        <f>I82+I84</f>
        <v>3185.6</v>
      </c>
    </row>
    <row r="82" spans="1:9" s="838" customFormat="1" ht="38.25" x14ac:dyDescent="0.25">
      <c r="A82" s="855" t="s">
        <v>409</v>
      </c>
      <c r="B82" s="851"/>
      <c r="C82" s="851" t="s">
        <v>58</v>
      </c>
      <c r="D82" s="851" t="s">
        <v>40</v>
      </c>
      <c r="E82" s="851" t="s">
        <v>101</v>
      </c>
      <c r="F82" s="851" t="s">
        <v>72</v>
      </c>
      <c r="G82" s="852">
        <f t="shared" si="6"/>
        <v>2188.5940000000001</v>
      </c>
      <c r="H82" s="853">
        <f t="shared" si="6"/>
        <v>2432.5300000000002</v>
      </c>
      <c r="I82" s="854">
        <f t="shared" si="6"/>
        <v>3092.6</v>
      </c>
    </row>
    <row r="83" spans="1:9" s="838" customFormat="1" ht="13.5" x14ac:dyDescent="0.25">
      <c r="A83" s="855" t="s">
        <v>73</v>
      </c>
      <c r="B83" s="851"/>
      <c r="C83" s="851" t="s">
        <v>58</v>
      </c>
      <c r="D83" s="851" t="s">
        <v>40</v>
      </c>
      <c r="E83" s="851" t="s">
        <v>101</v>
      </c>
      <c r="F83" s="851" t="s">
        <v>74</v>
      </c>
      <c r="G83" s="852">
        <f>2263.8-75.206</f>
        <v>2188.5940000000001</v>
      </c>
      <c r="H83" s="853">
        <f>2517-84.47</f>
        <v>2432.5300000000002</v>
      </c>
      <c r="I83" s="854">
        <f>3185.6-93</f>
        <v>3092.6</v>
      </c>
    </row>
    <row r="84" spans="1:9" s="838" customFormat="1" ht="13.5" x14ac:dyDescent="0.25">
      <c r="A84" s="866" t="s">
        <v>31</v>
      </c>
      <c r="B84" s="851"/>
      <c r="C84" s="851" t="s">
        <v>58</v>
      </c>
      <c r="D84" s="851" t="s">
        <v>40</v>
      </c>
      <c r="E84" s="851" t="s">
        <v>101</v>
      </c>
      <c r="F84" s="851" t="s">
        <v>66</v>
      </c>
      <c r="G84" s="852">
        <f t="shared" si="6"/>
        <v>75.206000000000003</v>
      </c>
      <c r="H84" s="853">
        <f t="shared" si="6"/>
        <v>84.47</v>
      </c>
      <c r="I84" s="854">
        <f t="shared" si="6"/>
        <v>93</v>
      </c>
    </row>
    <row r="85" spans="1:9" s="838" customFormat="1" ht="14.25" thickBot="1" x14ac:dyDescent="0.3">
      <c r="A85" s="858" t="s">
        <v>67</v>
      </c>
      <c r="B85" s="811"/>
      <c r="C85" s="811" t="s">
        <v>58</v>
      </c>
      <c r="D85" s="811" t="s">
        <v>40</v>
      </c>
      <c r="E85" s="811" t="s">
        <v>101</v>
      </c>
      <c r="F85" s="811" t="s">
        <v>68</v>
      </c>
      <c r="G85" s="859">
        <f>75.206</f>
        <v>75.206000000000003</v>
      </c>
      <c r="H85" s="860">
        <v>84.47</v>
      </c>
      <c r="I85" s="861">
        <v>93</v>
      </c>
    </row>
    <row r="86" spans="1:9" s="890" customFormat="1" ht="14.25" thickBot="1" x14ac:dyDescent="0.25">
      <c r="A86" s="833" t="s">
        <v>127</v>
      </c>
      <c r="B86" s="834"/>
      <c r="C86" s="834" t="s">
        <v>40</v>
      </c>
      <c r="D86" s="834"/>
      <c r="E86" s="834"/>
      <c r="F86" s="834"/>
      <c r="G86" s="835">
        <f>G87+G106</f>
        <v>15951.849</v>
      </c>
      <c r="H86" s="836">
        <f>H87+H106</f>
        <v>4260.26</v>
      </c>
      <c r="I86" s="837">
        <f>I87+I106</f>
        <v>4260.26</v>
      </c>
    </row>
    <row r="87" spans="1:9" s="838" customFormat="1" ht="27.75" thickBot="1" x14ac:dyDescent="0.3">
      <c r="A87" s="891" t="s">
        <v>295</v>
      </c>
      <c r="B87" s="877"/>
      <c r="C87" s="877" t="s">
        <v>40</v>
      </c>
      <c r="D87" s="877" t="s">
        <v>118</v>
      </c>
      <c r="E87" s="877"/>
      <c r="F87" s="877"/>
      <c r="G87" s="878">
        <f>G88+G100</f>
        <v>5845</v>
      </c>
      <c r="H87" s="879">
        <f>H88+H100</f>
        <v>1251</v>
      </c>
      <c r="I87" s="880">
        <f>I88+I100</f>
        <v>1251</v>
      </c>
    </row>
    <row r="88" spans="1:9" s="820" customFormat="1" ht="25.5" x14ac:dyDescent="0.2">
      <c r="A88" s="892" t="s">
        <v>392</v>
      </c>
      <c r="B88" s="884"/>
      <c r="C88" s="884" t="s">
        <v>40</v>
      </c>
      <c r="D88" s="884" t="s">
        <v>118</v>
      </c>
      <c r="E88" s="884" t="s">
        <v>48</v>
      </c>
      <c r="F88" s="884"/>
      <c r="G88" s="885">
        <f>G89</f>
        <v>5840</v>
      </c>
      <c r="H88" s="886">
        <f>H89</f>
        <v>1246</v>
      </c>
      <c r="I88" s="887">
        <f>I89</f>
        <v>1246</v>
      </c>
    </row>
    <row r="89" spans="1:9" s="808" customFormat="1" ht="12.75" x14ac:dyDescent="0.2">
      <c r="A89" s="844" t="s">
        <v>232</v>
      </c>
      <c r="B89" s="845"/>
      <c r="C89" s="845" t="s">
        <v>40</v>
      </c>
      <c r="D89" s="845" t="s">
        <v>118</v>
      </c>
      <c r="E89" s="845" t="s">
        <v>245</v>
      </c>
      <c r="F89" s="845"/>
      <c r="G89" s="846">
        <f>SUM(G90+G94)</f>
        <v>5840</v>
      </c>
      <c r="H89" s="847">
        <f>SUM(H90+H94)</f>
        <v>1246</v>
      </c>
      <c r="I89" s="848">
        <f>SUM(I90+I94)</f>
        <v>1246</v>
      </c>
    </row>
    <row r="90" spans="1:9" s="808" customFormat="1" ht="25.5" x14ac:dyDescent="0.2">
      <c r="A90" s="849" t="s">
        <v>246</v>
      </c>
      <c r="B90" s="845"/>
      <c r="C90" s="851" t="s">
        <v>40</v>
      </c>
      <c r="D90" s="851" t="s">
        <v>118</v>
      </c>
      <c r="E90" s="851" t="s">
        <v>247</v>
      </c>
      <c r="F90" s="845"/>
      <c r="G90" s="852">
        <f>SUM(G91)</f>
        <v>3200</v>
      </c>
      <c r="H90" s="853">
        <f>SUM(H91)</f>
        <v>786</v>
      </c>
      <c r="I90" s="854">
        <f>SUM(I91)</f>
        <v>786</v>
      </c>
    </row>
    <row r="91" spans="1:9" s="808" customFormat="1" ht="25.5" x14ac:dyDescent="0.2">
      <c r="A91" s="849" t="s">
        <v>414</v>
      </c>
      <c r="B91" s="851"/>
      <c r="C91" s="851" t="s">
        <v>40</v>
      </c>
      <c r="D91" s="851" t="s">
        <v>118</v>
      </c>
      <c r="E91" s="851" t="s">
        <v>248</v>
      </c>
      <c r="F91" s="851"/>
      <c r="G91" s="852">
        <f>G93</f>
        <v>3200</v>
      </c>
      <c r="H91" s="853">
        <f>H93</f>
        <v>786</v>
      </c>
      <c r="I91" s="854">
        <f>I93</f>
        <v>786</v>
      </c>
    </row>
    <row r="92" spans="1:9" s="808" customFormat="1" ht="12.75" x14ac:dyDescent="0.2">
      <c r="A92" s="855" t="s">
        <v>31</v>
      </c>
      <c r="B92" s="851"/>
      <c r="C92" s="851" t="s">
        <v>40</v>
      </c>
      <c r="D92" s="851" t="s">
        <v>118</v>
      </c>
      <c r="E92" s="851" t="s">
        <v>248</v>
      </c>
      <c r="F92" s="851" t="s">
        <v>66</v>
      </c>
      <c r="G92" s="852">
        <f>G93</f>
        <v>3200</v>
      </c>
      <c r="H92" s="853">
        <f>H93</f>
        <v>786</v>
      </c>
      <c r="I92" s="854">
        <f>I93</f>
        <v>786</v>
      </c>
    </row>
    <row r="93" spans="1:9" s="808" customFormat="1" ht="12.75" x14ac:dyDescent="0.2">
      <c r="A93" s="855" t="s">
        <v>67</v>
      </c>
      <c r="B93" s="851"/>
      <c r="C93" s="851" t="s">
        <v>40</v>
      </c>
      <c r="D93" s="851" t="s">
        <v>118</v>
      </c>
      <c r="E93" s="851" t="s">
        <v>248</v>
      </c>
      <c r="F93" s="851" t="s">
        <v>68</v>
      </c>
      <c r="G93" s="852">
        <v>3200</v>
      </c>
      <c r="H93" s="853">
        <v>786</v>
      </c>
      <c r="I93" s="854">
        <v>786</v>
      </c>
    </row>
    <row r="94" spans="1:9" s="808" customFormat="1" ht="12.75" x14ac:dyDescent="0.2">
      <c r="A94" s="849" t="s">
        <v>418</v>
      </c>
      <c r="B94" s="851"/>
      <c r="C94" s="851" t="s">
        <v>40</v>
      </c>
      <c r="D94" s="851" t="s">
        <v>118</v>
      </c>
      <c r="E94" s="851" t="s">
        <v>249</v>
      </c>
      <c r="F94" s="851"/>
      <c r="G94" s="852">
        <f>SUM(G95)</f>
        <v>2640</v>
      </c>
      <c r="H94" s="853">
        <f>SUM(H95)</f>
        <v>460</v>
      </c>
      <c r="I94" s="854">
        <f>SUM(I95)</f>
        <v>460</v>
      </c>
    </row>
    <row r="95" spans="1:9" s="808" customFormat="1" ht="12.75" x14ac:dyDescent="0.2">
      <c r="A95" s="849" t="s">
        <v>50</v>
      </c>
      <c r="B95" s="851"/>
      <c r="C95" s="851" t="s">
        <v>40</v>
      </c>
      <c r="D95" s="851" t="s">
        <v>118</v>
      </c>
      <c r="E95" s="851" t="s">
        <v>250</v>
      </c>
      <c r="F95" s="851"/>
      <c r="G95" s="852">
        <f>G97+G98</f>
        <v>2640</v>
      </c>
      <c r="H95" s="852">
        <f t="shared" ref="H95:I95" si="7">H97+H98</f>
        <v>460</v>
      </c>
      <c r="I95" s="854">
        <f t="shared" si="7"/>
        <v>460</v>
      </c>
    </row>
    <row r="96" spans="1:9" s="808" customFormat="1" ht="12.75" x14ac:dyDescent="0.2">
      <c r="A96" s="855" t="s">
        <v>31</v>
      </c>
      <c r="B96" s="851"/>
      <c r="C96" s="851" t="s">
        <v>40</v>
      </c>
      <c r="D96" s="851" t="s">
        <v>118</v>
      </c>
      <c r="E96" s="851" t="s">
        <v>250</v>
      </c>
      <c r="F96" s="851" t="s">
        <v>66</v>
      </c>
      <c r="G96" s="852">
        <f>G97</f>
        <v>2570</v>
      </c>
      <c r="H96" s="853">
        <f>H97</f>
        <v>460</v>
      </c>
      <c r="I96" s="854">
        <f>I97</f>
        <v>460</v>
      </c>
    </row>
    <row r="97" spans="1:9" s="808" customFormat="1" ht="12.75" x14ac:dyDescent="0.2">
      <c r="A97" s="855" t="s">
        <v>67</v>
      </c>
      <c r="B97" s="851"/>
      <c r="C97" s="851" t="s">
        <v>40</v>
      </c>
      <c r="D97" s="851" t="s">
        <v>118</v>
      </c>
      <c r="E97" s="851" t="s">
        <v>250</v>
      </c>
      <c r="F97" s="851" t="s">
        <v>68</v>
      </c>
      <c r="G97" s="852">
        <v>2570</v>
      </c>
      <c r="H97" s="853">
        <v>460</v>
      </c>
      <c r="I97" s="854">
        <v>460</v>
      </c>
    </row>
    <row r="98" spans="1:9" s="808" customFormat="1" ht="12.75" x14ac:dyDescent="0.2">
      <c r="A98" s="855" t="s">
        <v>33</v>
      </c>
      <c r="B98" s="851"/>
      <c r="C98" s="851" t="s">
        <v>40</v>
      </c>
      <c r="D98" s="851" t="s">
        <v>118</v>
      </c>
      <c r="E98" s="851" t="s">
        <v>250</v>
      </c>
      <c r="F98" s="851" t="s">
        <v>75</v>
      </c>
      <c r="G98" s="852">
        <f>G99</f>
        <v>70</v>
      </c>
      <c r="H98" s="853">
        <f>H99</f>
        <v>0</v>
      </c>
      <c r="I98" s="854">
        <f>I99</f>
        <v>0</v>
      </c>
    </row>
    <row r="99" spans="1:9" s="808" customFormat="1" ht="12.75" x14ac:dyDescent="0.2">
      <c r="A99" s="855" t="s">
        <v>76</v>
      </c>
      <c r="B99" s="851"/>
      <c r="C99" s="851" t="s">
        <v>40</v>
      </c>
      <c r="D99" s="851" t="s">
        <v>118</v>
      </c>
      <c r="E99" s="851" t="s">
        <v>250</v>
      </c>
      <c r="F99" s="851" t="s">
        <v>77</v>
      </c>
      <c r="G99" s="852">
        <f>0+70</f>
        <v>70</v>
      </c>
      <c r="H99" s="853">
        <v>0</v>
      </c>
      <c r="I99" s="854">
        <v>0</v>
      </c>
    </row>
    <row r="100" spans="1:9" s="808" customFormat="1" ht="25.5" x14ac:dyDescent="0.2">
      <c r="A100" s="893" t="s">
        <v>374</v>
      </c>
      <c r="B100" s="850"/>
      <c r="C100" s="850" t="s">
        <v>40</v>
      </c>
      <c r="D100" s="850" t="s">
        <v>118</v>
      </c>
      <c r="E100" s="850" t="s">
        <v>290</v>
      </c>
      <c r="F100" s="850"/>
      <c r="G100" s="894">
        <f>G101</f>
        <v>5</v>
      </c>
      <c r="H100" s="895">
        <f>H101</f>
        <v>5</v>
      </c>
      <c r="I100" s="896">
        <f>I101</f>
        <v>5</v>
      </c>
    </row>
    <row r="101" spans="1:9" s="890" customFormat="1" ht="13.5" x14ac:dyDescent="0.2">
      <c r="A101" s="897" t="s">
        <v>433</v>
      </c>
      <c r="B101" s="857"/>
      <c r="C101" s="845" t="s">
        <v>40</v>
      </c>
      <c r="D101" s="845" t="s">
        <v>118</v>
      </c>
      <c r="E101" s="845" t="s">
        <v>291</v>
      </c>
      <c r="F101" s="857"/>
      <c r="G101" s="846">
        <f>SUM(G102)</f>
        <v>5</v>
      </c>
      <c r="H101" s="847">
        <f>SUM(H102)</f>
        <v>5</v>
      </c>
      <c r="I101" s="848">
        <f>SUM(I102)</f>
        <v>5</v>
      </c>
    </row>
    <row r="102" spans="1:9" s="808" customFormat="1" ht="38.25" x14ac:dyDescent="0.2">
      <c r="A102" s="898" t="s">
        <v>419</v>
      </c>
      <c r="B102" s="857"/>
      <c r="C102" s="851" t="s">
        <v>40</v>
      </c>
      <c r="D102" s="851" t="s">
        <v>118</v>
      </c>
      <c r="E102" s="851" t="s">
        <v>292</v>
      </c>
      <c r="F102" s="850"/>
      <c r="G102" s="852">
        <f>G104</f>
        <v>5</v>
      </c>
      <c r="H102" s="853">
        <f>H104</f>
        <v>5</v>
      </c>
      <c r="I102" s="854">
        <f>I104</f>
        <v>5</v>
      </c>
    </row>
    <row r="103" spans="1:9" s="808" customFormat="1" ht="25.5" x14ac:dyDescent="0.2">
      <c r="A103" s="898" t="s">
        <v>294</v>
      </c>
      <c r="B103" s="857"/>
      <c r="C103" s="851" t="s">
        <v>40</v>
      </c>
      <c r="D103" s="851" t="s">
        <v>118</v>
      </c>
      <c r="E103" s="851" t="s">
        <v>293</v>
      </c>
      <c r="F103" s="850"/>
      <c r="G103" s="852">
        <f t="shared" ref="G103:I104" si="8">G104</f>
        <v>5</v>
      </c>
      <c r="H103" s="853">
        <f t="shared" si="8"/>
        <v>5</v>
      </c>
      <c r="I103" s="854">
        <f t="shared" si="8"/>
        <v>5</v>
      </c>
    </row>
    <row r="104" spans="1:9" s="808" customFormat="1" ht="13.5" x14ac:dyDescent="0.2">
      <c r="A104" s="866" t="s">
        <v>31</v>
      </c>
      <c r="B104" s="857"/>
      <c r="C104" s="851" t="s">
        <v>40</v>
      </c>
      <c r="D104" s="851" t="s">
        <v>118</v>
      </c>
      <c r="E104" s="851" t="s">
        <v>293</v>
      </c>
      <c r="F104" s="851" t="s">
        <v>66</v>
      </c>
      <c r="G104" s="852">
        <f t="shared" si="8"/>
        <v>5</v>
      </c>
      <c r="H104" s="853">
        <f t="shared" si="8"/>
        <v>5</v>
      </c>
      <c r="I104" s="854">
        <f t="shared" si="8"/>
        <v>5</v>
      </c>
    </row>
    <row r="105" spans="1:9" s="808" customFormat="1" ht="13.5" thickBot="1" x14ac:dyDescent="0.25">
      <c r="A105" s="855" t="s">
        <v>67</v>
      </c>
      <c r="B105" s="851"/>
      <c r="C105" s="851" t="s">
        <v>40</v>
      </c>
      <c r="D105" s="851" t="s">
        <v>118</v>
      </c>
      <c r="E105" s="851" t="s">
        <v>293</v>
      </c>
      <c r="F105" s="899">
        <v>240</v>
      </c>
      <c r="G105" s="852">
        <v>5</v>
      </c>
      <c r="H105" s="853">
        <v>5</v>
      </c>
      <c r="I105" s="854">
        <v>5</v>
      </c>
    </row>
    <row r="106" spans="1:9" s="900" customFormat="1" ht="14.25" thickBot="1" x14ac:dyDescent="0.25">
      <c r="A106" s="833" t="s">
        <v>144</v>
      </c>
      <c r="B106" s="834"/>
      <c r="C106" s="834" t="s">
        <v>40</v>
      </c>
      <c r="D106" s="834" t="s">
        <v>145</v>
      </c>
      <c r="E106" s="834"/>
      <c r="F106" s="834"/>
      <c r="G106" s="835">
        <f>G113+G107+G124</f>
        <v>10106.849</v>
      </c>
      <c r="H106" s="836">
        <f>H113+H107+H124</f>
        <v>3009.26</v>
      </c>
      <c r="I106" s="837">
        <f>I113+I107+I124</f>
        <v>3009.26</v>
      </c>
    </row>
    <row r="107" spans="1:9" s="900" customFormat="1" ht="25.5" x14ac:dyDescent="0.2">
      <c r="A107" s="864" t="s">
        <v>392</v>
      </c>
      <c r="B107" s="851"/>
      <c r="C107" s="850" t="s">
        <v>40</v>
      </c>
      <c r="D107" s="850" t="s">
        <v>145</v>
      </c>
      <c r="E107" s="850" t="s">
        <v>48</v>
      </c>
      <c r="F107" s="850"/>
      <c r="G107" s="894">
        <f>G109</f>
        <v>6600</v>
      </c>
      <c r="H107" s="895">
        <f>H109</f>
        <v>0</v>
      </c>
      <c r="I107" s="896">
        <f>I109</f>
        <v>0</v>
      </c>
    </row>
    <row r="108" spans="1:9" s="900" customFormat="1" ht="12.75" x14ac:dyDescent="0.2">
      <c r="A108" s="844" t="s">
        <v>232</v>
      </c>
      <c r="B108" s="845"/>
      <c r="C108" s="845" t="s">
        <v>40</v>
      </c>
      <c r="D108" s="845" t="s">
        <v>145</v>
      </c>
      <c r="E108" s="845" t="s">
        <v>245</v>
      </c>
      <c r="F108" s="845"/>
      <c r="G108" s="846">
        <f>G109</f>
        <v>6600</v>
      </c>
      <c r="H108" s="847">
        <f t="shared" ref="H108:I111" si="9">H109</f>
        <v>0</v>
      </c>
      <c r="I108" s="848">
        <f t="shared" si="9"/>
        <v>0</v>
      </c>
    </row>
    <row r="109" spans="1:9" s="900" customFormat="1" ht="25.5" x14ac:dyDescent="0.2">
      <c r="A109" s="849" t="s">
        <v>350</v>
      </c>
      <c r="B109" s="851"/>
      <c r="C109" s="851" t="s">
        <v>40</v>
      </c>
      <c r="D109" s="851" t="s">
        <v>145</v>
      </c>
      <c r="E109" s="901" t="s">
        <v>351</v>
      </c>
      <c r="F109" s="851"/>
      <c r="G109" s="852">
        <f>G110</f>
        <v>6600</v>
      </c>
      <c r="H109" s="853">
        <f t="shared" si="9"/>
        <v>0</v>
      </c>
      <c r="I109" s="854">
        <f t="shared" si="9"/>
        <v>0</v>
      </c>
    </row>
    <row r="110" spans="1:9" s="900" customFormat="1" ht="25.5" x14ac:dyDescent="0.2">
      <c r="A110" s="849" t="s">
        <v>352</v>
      </c>
      <c r="B110" s="851"/>
      <c r="C110" s="851" t="s">
        <v>40</v>
      </c>
      <c r="D110" s="851" t="s">
        <v>145</v>
      </c>
      <c r="E110" s="901" t="s">
        <v>353</v>
      </c>
      <c r="F110" s="851"/>
      <c r="G110" s="852">
        <f>G111</f>
        <v>6600</v>
      </c>
      <c r="H110" s="853">
        <f t="shared" si="9"/>
        <v>0</v>
      </c>
      <c r="I110" s="854">
        <f t="shared" si="9"/>
        <v>0</v>
      </c>
    </row>
    <row r="111" spans="1:9" s="900" customFormat="1" ht="12.75" x14ac:dyDescent="0.2">
      <c r="A111" s="855" t="s">
        <v>31</v>
      </c>
      <c r="B111" s="851"/>
      <c r="C111" s="851" t="s">
        <v>40</v>
      </c>
      <c r="D111" s="851" t="s">
        <v>145</v>
      </c>
      <c r="E111" s="901" t="s">
        <v>353</v>
      </c>
      <c r="F111" s="851" t="s">
        <v>66</v>
      </c>
      <c r="G111" s="852">
        <f>G112</f>
        <v>6600</v>
      </c>
      <c r="H111" s="853">
        <f t="shared" si="9"/>
        <v>0</v>
      </c>
      <c r="I111" s="854">
        <f t="shared" si="9"/>
        <v>0</v>
      </c>
    </row>
    <row r="112" spans="1:9" s="900" customFormat="1" ht="12.75" x14ac:dyDescent="0.2">
      <c r="A112" s="855" t="s">
        <v>67</v>
      </c>
      <c r="B112" s="851"/>
      <c r="C112" s="851" t="s">
        <v>40</v>
      </c>
      <c r="D112" s="851" t="s">
        <v>145</v>
      </c>
      <c r="E112" s="901" t="s">
        <v>353</v>
      </c>
      <c r="F112" s="851" t="s">
        <v>68</v>
      </c>
      <c r="G112" s="852">
        <v>6600</v>
      </c>
      <c r="H112" s="853">
        <v>0</v>
      </c>
      <c r="I112" s="854">
        <v>0</v>
      </c>
    </row>
    <row r="113" spans="1:9" s="900" customFormat="1" ht="25.5" x14ac:dyDescent="0.2">
      <c r="A113" s="839" t="s">
        <v>10</v>
      </c>
      <c r="B113" s="840"/>
      <c r="C113" s="840" t="s">
        <v>40</v>
      </c>
      <c r="D113" s="840" t="s">
        <v>145</v>
      </c>
      <c r="E113" s="840" t="s">
        <v>11</v>
      </c>
      <c r="F113" s="840"/>
      <c r="G113" s="841">
        <f>SUM(G115)</f>
        <v>3009.26</v>
      </c>
      <c r="H113" s="842">
        <f>SUM(H115)</f>
        <v>3009.26</v>
      </c>
      <c r="I113" s="843">
        <f>SUM(I115)</f>
        <v>3009.26</v>
      </c>
    </row>
    <row r="114" spans="1:9" s="900" customFormat="1" ht="25.5" x14ac:dyDescent="0.2">
      <c r="A114" s="844" t="s">
        <v>403</v>
      </c>
      <c r="B114" s="845"/>
      <c r="C114" s="845" t="s">
        <v>40</v>
      </c>
      <c r="D114" s="845" t="s">
        <v>145</v>
      </c>
      <c r="E114" s="845" t="s">
        <v>12</v>
      </c>
      <c r="F114" s="845"/>
      <c r="G114" s="846">
        <f>SUM(G115)</f>
        <v>3009.26</v>
      </c>
      <c r="H114" s="847">
        <f>SUM(H115)</f>
        <v>3009.26</v>
      </c>
      <c r="I114" s="848">
        <f>SUM(I115)</f>
        <v>3009.26</v>
      </c>
    </row>
    <row r="115" spans="1:9" s="900" customFormat="1" ht="12.75" x14ac:dyDescent="0.2">
      <c r="A115" s="849" t="s">
        <v>13</v>
      </c>
      <c r="B115" s="845"/>
      <c r="C115" s="851" t="s">
        <v>40</v>
      </c>
      <c r="D115" s="851" t="s">
        <v>145</v>
      </c>
      <c r="E115" s="851" t="s">
        <v>14</v>
      </c>
      <c r="F115" s="845"/>
      <c r="G115" s="852">
        <f>SUM(G116+G121)</f>
        <v>3009.26</v>
      </c>
      <c r="H115" s="853">
        <f>SUM(H116+H121)</f>
        <v>3009.26</v>
      </c>
      <c r="I115" s="854">
        <f>SUM(I116+I121)</f>
        <v>3009.26</v>
      </c>
    </row>
    <row r="116" spans="1:9" s="900" customFormat="1" ht="38.25" x14ac:dyDescent="0.2">
      <c r="A116" s="849" t="s">
        <v>420</v>
      </c>
      <c r="B116" s="851"/>
      <c r="C116" s="851" t="s">
        <v>40</v>
      </c>
      <c r="D116" s="851" t="s">
        <v>145</v>
      </c>
      <c r="E116" s="851" t="s">
        <v>143</v>
      </c>
      <c r="F116" s="851"/>
      <c r="G116" s="852">
        <f>G117+G119</f>
        <v>2998.7000000000003</v>
      </c>
      <c r="H116" s="853">
        <f>H117+H119</f>
        <v>2998.7000000000003</v>
      </c>
      <c r="I116" s="854">
        <f>I117+I119</f>
        <v>2998.7000000000003</v>
      </c>
    </row>
    <row r="117" spans="1:9" s="900" customFormat="1" ht="38.25" x14ac:dyDescent="0.2">
      <c r="A117" s="855" t="s">
        <v>409</v>
      </c>
      <c r="B117" s="851"/>
      <c r="C117" s="851" t="s">
        <v>40</v>
      </c>
      <c r="D117" s="851" t="s">
        <v>145</v>
      </c>
      <c r="E117" s="851" t="s">
        <v>143</v>
      </c>
      <c r="F117" s="851" t="s">
        <v>72</v>
      </c>
      <c r="G117" s="852">
        <f>G118</f>
        <v>2918.6680000000001</v>
      </c>
      <c r="H117" s="853">
        <f>H118</f>
        <v>2918.6680000000001</v>
      </c>
      <c r="I117" s="854">
        <f>I118</f>
        <v>2918.6680000000001</v>
      </c>
    </row>
    <row r="118" spans="1:9" s="900" customFormat="1" ht="12.75" x14ac:dyDescent="0.2">
      <c r="A118" s="855" t="s">
        <v>73</v>
      </c>
      <c r="B118" s="851"/>
      <c r="C118" s="851" t="s">
        <v>40</v>
      </c>
      <c r="D118" s="851" t="s">
        <v>145</v>
      </c>
      <c r="E118" s="851" t="s">
        <v>143</v>
      </c>
      <c r="F118" s="851" t="s">
        <v>74</v>
      </c>
      <c r="G118" s="852">
        <f>2234+674.668+10</f>
        <v>2918.6680000000001</v>
      </c>
      <c r="H118" s="853">
        <v>2918.6680000000001</v>
      </c>
      <c r="I118" s="854">
        <v>2918.6680000000001</v>
      </c>
    </row>
    <row r="119" spans="1:9" s="900" customFormat="1" ht="12.75" x14ac:dyDescent="0.2">
      <c r="A119" s="855" t="s">
        <v>31</v>
      </c>
      <c r="B119" s="851"/>
      <c r="C119" s="851" t="s">
        <v>40</v>
      </c>
      <c r="D119" s="851" t="s">
        <v>145</v>
      </c>
      <c r="E119" s="851" t="s">
        <v>143</v>
      </c>
      <c r="F119" s="851" t="s">
        <v>66</v>
      </c>
      <c r="G119" s="852">
        <f>G120</f>
        <v>80.031999999999996</v>
      </c>
      <c r="H119" s="853">
        <f>H120</f>
        <v>80.031999999999996</v>
      </c>
      <c r="I119" s="854">
        <f>I120</f>
        <v>80.031999999999996</v>
      </c>
    </row>
    <row r="120" spans="1:9" s="900" customFormat="1" ht="12.75" x14ac:dyDescent="0.2">
      <c r="A120" s="855" t="s">
        <v>67</v>
      </c>
      <c r="B120" s="851"/>
      <c r="C120" s="851" t="s">
        <v>40</v>
      </c>
      <c r="D120" s="851" t="s">
        <v>145</v>
      </c>
      <c r="E120" s="851" t="s">
        <v>143</v>
      </c>
      <c r="F120" s="851" t="s">
        <v>68</v>
      </c>
      <c r="G120" s="852">
        <f>80.032</f>
        <v>80.031999999999996</v>
      </c>
      <c r="H120" s="853">
        <v>80.031999999999996</v>
      </c>
      <c r="I120" s="854">
        <v>80.031999999999996</v>
      </c>
    </row>
    <row r="121" spans="1:9" s="900" customFormat="1" ht="27.75" customHeight="1" x14ac:dyDescent="0.2">
      <c r="A121" s="849" t="s">
        <v>146</v>
      </c>
      <c r="B121" s="851"/>
      <c r="C121" s="851" t="s">
        <v>40</v>
      </c>
      <c r="D121" s="851" t="s">
        <v>145</v>
      </c>
      <c r="E121" s="851" t="s">
        <v>147</v>
      </c>
      <c r="F121" s="851"/>
      <c r="G121" s="852">
        <f t="shared" ref="G121:I122" si="10">G122</f>
        <v>10.559999999999999</v>
      </c>
      <c r="H121" s="853">
        <f t="shared" si="10"/>
        <v>10.56</v>
      </c>
      <c r="I121" s="854">
        <f t="shared" si="10"/>
        <v>10.56</v>
      </c>
    </row>
    <row r="122" spans="1:9" s="900" customFormat="1" ht="12.75" x14ac:dyDescent="0.2">
      <c r="A122" s="855" t="s">
        <v>31</v>
      </c>
      <c r="B122" s="851"/>
      <c r="C122" s="851" t="s">
        <v>40</v>
      </c>
      <c r="D122" s="851" t="s">
        <v>145</v>
      </c>
      <c r="E122" s="851" t="s">
        <v>147</v>
      </c>
      <c r="F122" s="851" t="s">
        <v>66</v>
      </c>
      <c r="G122" s="852">
        <f t="shared" si="10"/>
        <v>10.559999999999999</v>
      </c>
      <c r="H122" s="853">
        <f t="shared" si="10"/>
        <v>10.56</v>
      </c>
      <c r="I122" s="854">
        <f t="shared" si="10"/>
        <v>10.56</v>
      </c>
    </row>
    <row r="123" spans="1:9" s="900" customFormat="1" ht="12.75" x14ac:dyDescent="0.2">
      <c r="A123" s="855" t="s">
        <v>67</v>
      </c>
      <c r="B123" s="851"/>
      <c r="C123" s="851" t="s">
        <v>40</v>
      </c>
      <c r="D123" s="851" t="s">
        <v>145</v>
      </c>
      <c r="E123" s="851" t="s">
        <v>147</v>
      </c>
      <c r="F123" s="851" t="s">
        <v>68</v>
      </c>
      <c r="G123" s="852">
        <f>10.7-0.14</f>
        <v>10.559999999999999</v>
      </c>
      <c r="H123" s="853">
        <f>пр.2!D71</f>
        <v>10.56</v>
      </c>
      <c r="I123" s="854">
        <f>пр.2!E71</f>
        <v>10.56</v>
      </c>
    </row>
    <row r="124" spans="1:9" s="900" customFormat="1" ht="25.5" x14ac:dyDescent="0.2">
      <c r="A124" s="864" t="s">
        <v>401</v>
      </c>
      <c r="B124" s="850"/>
      <c r="C124" s="850" t="s">
        <v>40</v>
      </c>
      <c r="D124" s="850" t="s">
        <v>145</v>
      </c>
      <c r="E124" s="850" t="s">
        <v>94</v>
      </c>
      <c r="F124" s="850"/>
      <c r="G124" s="894">
        <f t="shared" ref="G124:I126" si="11">G125</f>
        <v>497.589</v>
      </c>
      <c r="H124" s="895">
        <f t="shared" si="11"/>
        <v>0</v>
      </c>
      <c r="I124" s="896">
        <f t="shared" si="11"/>
        <v>0</v>
      </c>
    </row>
    <row r="125" spans="1:9" s="900" customFormat="1" ht="12.75" x14ac:dyDescent="0.2">
      <c r="A125" s="902" t="s">
        <v>13</v>
      </c>
      <c r="B125" s="845"/>
      <c r="C125" s="845" t="s">
        <v>40</v>
      </c>
      <c r="D125" s="845" t="s">
        <v>145</v>
      </c>
      <c r="E125" s="845" t="s">
        <v>95</v>
      </c>
      <c r="F125" s="845"/>
      <c r="G125" s="846">
        <f t="shared" si="11"/>
        <v>497.589</v>
      </c>
      <c r="H125" s="847">
        <f t="shared" si="11"/>
        <v>0</v>
      </c>
      <c r="I125" s="848">
        <f t="shared" si="11"/>
        <v>0</v>
      </c>
    </row>
    <row r="126" spans="1:9" s="900" customFormat="1" ht="12.75" x14ac:dyDescent="0.2">
      <c r="A126" s="903" t="s">
        <v>13</v>
      </c>
      <c r="B126" s="851"/>
      <c r="C126" s="851" t="s">
        <v>40</v>
      </c>
      <c r="D126" s="851" t="s">
        <v>145</v>
      </c>
      <c r="E126" s="851" t="s">
        <v>96</v>
      </c>
      <c r="F126" s="851"/>
      <c r="G126" s="852">
        <f t="shared" si="11"/>
        <v>497.589</v>
      </c>
      <c r="H126" s="853">
        <f t="shared" si="11"/>
        <v>0</v>
      </c>
      <c r="I126" s="854">
        <f t="shared" si="11"/>
        <v>0</v>
      </c>
    </row>
    <row r="127" spans="1:9" s="900" customFormat="1" ht="51" x14ac:dyDescent="0.2">
      <c r="A127" s="856" t="s">
        <v>421</v>
      </c>
      <c r="B127" s="851"/>
      <c r="C127" s="851" t="s">
        <v>40</v>
      </c>
      <c r="D127" s="851" t="s">
        <v>145</v>
      </c>
      <c r="E127" s="851" t="s">
        <v>359</v>
      </c>
      <c r="F127" s="851"/>
      <c r="G127" s="852">
        <f>G129</f>
        <v>497.589</v>
      </c>
      <c r="H127" s="853">
        <f>H129</f>
        <v>0</v>
      </c>
      <c r="I127" s="854">
        <f>I129</f>
        <v>0</v>
      </c>
    </row>
    <row r="128" spans="1:9" s="900" customFormat="1" ht="12.75" x14ac:dyDescent="0.2">
      <c r="A128" s="855" t="s">
        <v>123</v>
      </c>
      <c r="B128" s="851"/>
      <c r="C128" s="851" t="s">
        <v>40</v>
      </c>
      <c r="D128" s="851" t="s">
        <v>145</v>
      </c>
      <c r="E128" s="851" t="s">
        <v>359</v>
      </c>
      <c r="F128" s="851" t="s">
        <v>78</v>
      </c>
      <c r="G128" s="852">
        <f>G129</f>
        <v>497.589</v>
      </c>
      <c r="H128" s="853">
        <f>H129</f>
        <v>0</v>
      </c>
      <c r="I128" s="854">
        <f>I129</f>
        <v>0</v>
      </c>
    </row>
    <row r="129" spans="1:9" s="900" customFormat="1" ht="13.5" thickBot="1" x14ac:dyDescent="0.25">
      <c r="A129" s="858" t="s">
        <v>79</v>
      </c>
      <c r="B129" s="811"/>
      <c r="C129" s="811" t="s">
        <v>40</v>
      </c>
      <c r="D129" s="811" t="s">
        <v>145</v>
      </c>
      <c r="E129" s="811" t="s">
        <v>359</v>
      </c>
      <c r="F129" s="811" t="s">
        <v>4</v>
      </c>
      <c r="G129" s="859">
        <v>497.589</v>
      </c>
      <c r="H129" s="860">
        <v>0</v>
      </c>
      <c r="I129" s="861">
        <v>0</v>
      </c>
    </row>
    <row r="130" spans="1:9" s="808" customFormat="1" ht="14.25" thickBot="1" x14ac:dyDescent="0.25">
      <c r="A130" s="833" t="s">
        <v>128</v>
      </c>
      <c r="B130" s="834"/>
      <c r="C130" s="834" t="s">
        <v>36</v>
      </c>
      <c r="D130" s="834"/>
      <c r="E130" s="834"/>
      <c r="F130" s="834"/>
      <c r="G130" s="835">
        <f>G132+G157</f>
        <v>85200.478350000005</v>
      </c>
      <c r="H130" s="836">
        <f>H132+H157</f>
        <v>25156.614000000001</v>
      </c>
      <c r="I130" s="837">
        <f>I132+I157</f>
        <v>25138.805</v>
      </c>
    </row>
    <row r="131" spans="1:9" s="808" customFormat="1" ht="0.75" customHeight="1" thickBot="1" x14ac:dyDescent="0.25">
      <c r="A131" s="904" t="s">
        <v>215</v>
      </c>
      <c r="B131" s="905"/>
      <c r="C131" s="905" t="s">
        <v>36</v>
      </c>
      <c r="D131" s="905" t="s">
        <v>57</v>
      </c>
      <c r="E131" s="905"/>
      <c r="F131" s="905"/>
      <c r="G131" s="906" t="e">
        <f>#REF!</f>
        <v>#REF!</v>
      </c>
      <c r="H131" s="907" t="e">
        <f>#REF!</f>
        <v>#REF!</v>
      </c>
      <c r="I131" s="908" t="e">
        <f>#REF!</f>
        <v>#REF!</v>
      </c>
    </row>
    <row r="132" spans="1:9" s="808" customFormat="1" ht="14.25" thickBot="1" x14ac:dyDescent="0.25">
      <c r="A132" s="833" t="s">
        <v>53</v>
      </c>
      <c r="B132" s="834"/>
      <c r="C132" s="834" t="s">
        <v>36</v>
      </c>
      <c r="D132" s="834" t="s">
        <v>49</v>
      </c>
      <c r="E132" s="834"/>
      <c r="F132" s="834"/>
      <c r="G132" s="835">
        <f>G133</f>
        <v>81930.614150000009</v>
      </c>
      <c r="H132" s="836">
        <f>H133</f>
        <v>24206.614000000001</v>
      </c>
      <c r="I132" s="837">
        <f>I133</f>
        <v>24238.805</v>
      </c>
    </row>
    <row r="133" spans="1:9" s="808" customFormat="1" ht="25.5" x14ac:dyDescent="0.2">
      <c r="A133" s="839" t="s">
        <v>393</v>
      </c>
      <c r="B133" s="840"/>
      <c r="C133" s="840" t="s">
        <v>36</v>
      </c>
      <c r="D133" s="840" t="s">
        <v>49</v>
      </c>
      <c r="E133" s="840" t="s">
        <v>51</v>
      </c>
      <c r="F133" s="909"/>
      <c r="G133" s="841">
        <f>G134</f>
        <v>81930.614150000009</v>
      </c>
      <c r="H133" s="842">
        <f>H134+H152</f>
        <v>24206.614000000001</v>
      </c>
      <c r="I133" s="843">
        <f>I134+I152</f>
        <v>24238.805</v>
      </c>
    </row>
    <row r="134" spans="1:9" s="808" customFormat="1" ht="12.75" x14ac:dyDescent="0.2">
      <c r="A134" s="844" t="s">
        <v>232</v>
      </c>
      <c r="B134" s="845"/>
      <c r="C134" s="845" t="s">
        <v>36</v>
      </c>
      <c r="D134" s="845" t="s">
        <v>49</v>
      </c>
      <c r="E134" s="845" t="s">
        <v>251</v>
      </c>
      <c r="F134" s="845"/>
      <c r="G134" s="846">
        <f>G135+G148</f>
        <v>81930.614150000009</v>
      </c>
      <c r="H134" s="847">
        <f>H135+H148</f>
        <v>18535.092260000001</v>
      </c>
      <c r="I134" s="848">
        <f>I135+I148</f>
        <v>18608.585210000001</v>
      </c>
    </row>
    <row r="135" spans="1:9" s="808" customFormat="1" ht="38.25" x14ac:dyDescent="0.2">
      <c r="A135" s="849" t="s">
        <v>252</v>
      </c>
      <c r="B135" s="851"/>
      <c r="C135" s="851" t="s">
        <v>36</v>
      </c>
      <c r="D135" s="851" t="s">
        <v>49</v>
      </c>
      <c r="E135" s="851" t="s">
        <v>253</v>
      </c>
      <c r="F135" s="851"/>
      <c r="G135" s="852">
        <f>G136+G139+G142+G145</f>
        <v>78930.614150000009</v>
      </c>
      <c r="H135" s="853">
        <f>H136+H139+H142+H145</f>
        <v>18035.092260000001</v>
      </c>
      <c r="I135" s="854">
        <f>I136+I139+I142+I145</f>
        <v>18108.585210000001</v>
      </c>
    </row>
    <row r="136" spans="1:9" s="808" customFormat="1" ht="12.75" x14ac:dyDescent="0.2">
      <c r="A136" s="849" t="s">
        <v>52</v>
      </c>
      <c r="B136" s="851"/>
      <c r="C136" s="851" t="s">
        <v>36</v>
      </c>
      <c r="D136" s="851" t="s">
        <v>49</v>
      </c>
      <c r="E136" s="851" t="s">
        <v>254</v>
      </c>
      <c r="F136" s="851"/>
      <c r="G136" s="852">
        <f>SUM(G138)</f>
        <v>19601.2</v>
      </c>
      <c r="H136" s="853">
        <f>SUM(H138)</f>
        <v>15554</v>
      </c>
      <c r="I136" s="854">
        <f>SUM(I138)</f>
        <v>15554</v>
      </c>
    </row>
    <row r="137" spans="1:9" s="808" customFormat="1" ht="12.75" x14ac:dyDescent="0.2">
      <c r="A137" s="855" t="s">
        <v>31</v>
      </c>
      <c r="B137" s="851"/>
      <c r="C137" s="851" t="s">
        <v>36</v>
      </c>
      <c r="D137" s="851" t="s">
        <v>49</v>
      </c>
      <c r="E137" s="851" t="s">
        <v>254</v>
      </c>
      <c r="F137" s="851" t="s">
        <v>66</v>
      </c>
      <c r="G137" s="852">
        <f>G138</f>
        <v>19601.2</v>
      </c>
      <c r="H137" s="853">
        <f>H138</f>
        <v>15554</v>
      </c>
      <c r="I137" s="854">
        <f>I138</f>
        <v>15554</v>
      </c>
    </row>
    <row r="138" spans="1:9" s="808" customFormat="1" ht="12.75" x14ac:dyDescent="0.2">
      <c r="A138" s="855" t="s">
        <v>67</v>
      </c>
      <c r="B138" s="851"/>
      <c r="C138" s="851" t="s">
        <v>36</v>
      </c>
      <c r="D138" s="851" t="s">
        <v>49</v>
      </c>
      <c r="E138" s="851" t="s">
        <v>254</v>
      </c>
      <c r="F138" s="851" t="s">
        <v>68</v>
      </c>
      <c r="G138" s="852">
        <v>19601.2</v>
      </c>
      <c r="H138" s="853">
        <v>15554</v>
      </c>
      <c r="I138" s="854">
        <f>15099+455</f>
        <v>15554</v>
      </c>
    </row>
    <row r="139" spans="1:9" s="808" customFormat="1" ht="25.5" x14ac:dyDescent="0.2">
      <c r="A139" s="849" t="s">
        <v>256</v>
      </c>
      <c r="B139" s="851"/>
      <c r="C139" s="851" t="s">
        <v>36</v>
      </c>
      <c r="D139" s="851" t="s">
        <v>49</v>
      </c>
      <c r="E139" s="851" t="s">
        <v>255</v>
      </c>
      <c r="F139" s="851"/>
      <c r="G139" s="852">
        <f t="shared" ref="G139:I140" si="12">G140</f>
        <v>22050.68965</v>
      </c>
      <c r="H139" s="853">
        <f t="shared" si="12"/>
        <v>0</v>
      </c>
      <c r="I139" s="854">
        <f t="shared" si="12"/>
        <v>0</v>
      </c>
    </row>
    <row r="140" spans="1:9" s="808" customFormat="1" ht="12.75" x14ac:dyDescent="0.2">
      <c r="A140" s="855" t="s">
        <v>31</v>
      </c>
      <c r="B140" s="851"/>
      <c r="C140" s="851" t="s">
        <v>36</v>
      </c>
      <c r="D140" s="851" t="s">
        <v>49</v>
      </c>
      <c r="E140" s="851" t="s">
        <v>255</v>
      </c>
      <c r="F140" s="851" t="s">
        <v>66</v>
      </c>
      <c r="G140" s="852">
        <f t="shared" si="12"/>
        <v>22050.68965</v>
      </c>
      <c r="H140" s="853">
        <f t="shared" si="12"/>
        <v>0</v>
      </c>
      <c r="I140" s="854">
        <f t="shared" si="12"/>
        <v>0</v>
      </c>
    </row>
    <row r="141" spans="1:9" s="808" customFormat="1" ht="12.75" x14ac:dyDescent="0.2">
      <c r="A141" s="855" t="s">
        <v>67</v>
      </c>
      <c r="B141" s="851"/>
      <c r="C141" s="851" t="s">
        <v>36</v>
      </c>
      <c r="D141" s="851" t="s">
        <v>49</v>
      </c>
      <c r="E141" s="851" t="s">
        <v>255</v>
      </c>
      <c r="F141" s="851" t="s">
        <v>68</v>
      </c>
      <c r="G141" s="852">
        <f>18823.64498+3227.04467</f>
        <v>22050.68965</v>
      </c>
      <c r="H141" s="853">
        <v>0</v>
      </c>
      <c r="I141" s="854">
        <v>0</v>
      </c>
    </row>
    <row r="142" spans="1:9" s="808" customFormat="1" ht="25.5" customHeight="1" x14ac:dyDescent="0.2">
      <c r="A142" s="849" t="s">
        <v>303</v>
      </c>
      <c r="B142" s="851"/>
      <c r="C142" s="851" t="s">
        <v>36</v>
      </c>
      <c r="D142" s="851" t="s">
        <v>49</v>
      </c>
      <c r="E142" s="851" t="s">
        <v>257</v>
      </c>
      <c r="F142" s="851"/>
      <c r="G142" s="852">
        <f t="shared" ref="G142:I143" si="13">G143</f>
        <v>34458.376090000005</v>
      </c>
      <c r="H142" s="853">
        <f t="shared" si="13"/>
        <v>0</v>
      </c>
      <c r="I142" s="854">
        <f t="shared" si="13"/>
        <v>0</v>
      </c>
    </row>
    <row r="143" spans="1:9" s="808" customFormat="1" ht="12.75" x14ac:dyDescent="0.2">
      <c r="A143" s="855" t="s">
        <v>31</v>
      </c>
      <c r="B143" s="851"/>
      <c r="C143" s="851" t="s">
        <v>36</v>
      </c>
      <c r="D143" s="851" t="s">
        <v>49</v>
      </c>
      <c r="E143" s="851" t="s">
        <v>257</v>
      </c>
      <c r="F143" s="851" t="s">
        <v>66</v>
      </c>
      <c r="G143" s="852">
        <f t="shared" si="13"/>
        <v>34458.376090000005</v>
      </c>
      <c r="H143" s="853">
        <f t="shared" si="13"/>
        <v>0</v>
      </c>
      <c r="I143" s="854">
        <f t="shared" si="13"/>
        <v>0</v>
      </c>
    </row>
    <row r="144" spans="1:9" s="808" customFormat="1" ht="12.75" x14ac:dyDescent="0.2">
      <c r="A144" s="855" t="s">
        <v>67</v>
      </c>
      <c r="B144" s="851"/>
      <c r="C144" s="851" t="s">
        <v>36</v>
      </c>
      <c r="D144" s="851" t="s">
        <v>49</v>
      </c>
      <c r="E144" s="851" t="s">
        <v>257</v>
      </c>
      <c r="F144" s="851" t="s">
        <v>68</v>
      </c>
      <c r="G144" s="852">
        <f>25115.42163+9342.95446</f>
        <v>34458.376090000005</v>
      </c>
      <c r="H144" s="853">
        <v>0</v>
      </c>
      <c r="I144" s="854">
        <v>0</v>
      </c>
    </row>
    <row r="145" spans="1:9" s="808" customFormat="1" ht="27.75" customHeight="1" x14ac:dyDescent="0.2">
      <c r="A145" s="849" t="s">
        <v>411</v>
      </c>
      <c r="B145" s="851"/>
      <c r="C145" s="851" t="s">
        <v>36</v>
      </c>
      <c r="D145" s="851" t="s">
        <v>49</v>
      </c>
      <c r="E145" s="865" t="s">
        <v>395</v>
      </c>
      <c r="F145" s="851"/>
      <c r="G145" s="852">
        <f t="shared" ref="G145:I146" si="14">G146</f>
        <v>2820.3484100000001</v>
      </c>
      <c r="H145" s="853">
        <f t="shared" si="14"/>
        <v>2481.0922599999999</v>
      </c>
      <c r="I145" s="854">
        <f t="shared" si="14"/>
        <v>2554.5852100000002</v>
      </c>
    </row>
    <row r="146" spans="1:9" s="808" customFormat="1" ht="12.75" x14ac:dyDescent="0.2">
      <c r="A146" s="855" t="s">
        <v>31</v>
      </c>
      <c r="B146" s="851"/>
      <c r="C146" s="851" t="s">
        <v>36</v>
      </c>
      <c r="D146" s="851" t="s">
        <v>49</v>
      </c>
      <c r="E146" s="865" t="s">
        <v>395</v>
      </c>
      <c r="F146" s="851" t="s">
        <v>66</v>
      </c>
      <c r="G146" s="852">
        <f t="shared" si="14"/>
        <v>2820.3484100000001</v>
      </c>
      <c r="H146" s="853">
        <f t="shared" si="14"/>
        <v>2481.0922599999999</v>
      </c>
      <c r="I146" s="854">
        <f t="shared" si="14"/>
        <v>2554.5852100000002</v>
      </c>
    </row>
    <row r="147" spans="1:9" s="808" customFormat="1" ht="12.75" x14ac:dyDescent="0.2">
      <c r="A147" s="855" t="s">
        <v>67</v>
      </c>
      <c r="B147" s="851"/>
      <c r="C147" s="851" t="s">
        <v>36</v>
      </c>
      <c r="D147" s="851" t="s">
        <v>49</v>
      </c>
      <c r="E147" s="865" t="s">
        <v>395</v>
      </c>
      <c r="F147" s="851" t="s">
        <v>68</v>
      </c>
      <c r="G147" s="852">
        <f>2195.018+625.33041</f>
        <v>2820.3484100000001</v>
      </c>
      <c r="H147" s="853">
        <v>2481.0922599999999</v>
      </c>
      <c r="I147" s="854">
        <f>2615.78326-61.19805</f>
        <v>2554.5852100000002</v>
      </c>
    </row>
    <row r="148" spans="1:9" s="808" customFormat="1" ht="22.5" customHeight="1" x14ac:dyDescent="0.2">
      <c r="A148" s="849" t="s">
        <v>286</v>
      </c>
      <c r="B148" s="851"/>
      <c r="C148" s="851" t="s">
        <v>36</v>
      </c>
      <c r="D148" s="851" t="s">
        <v>49</v>
      </c>
      <c r="E148" s="851" t="s">
        <v>287</v>
      </c>
      <c r="F148" s="850"/>
      <c r="G148" s="852">
        <f>G149</f>
        <v>3000</v>
      </c>
      <c r="H148" s="853">
        <f>H149</f>
        <v>500</v>
      </c>
      <c r="I148" s="854">
        <f>I149</f>
        <v>500</v>
      </c>
    </row>
    <row r="149" spans="1:9" s="808" customFormat="1" ht="25.5" customHeight="1" x14ac:dyDescent="0.2">
      <c r="A149" s="849" t="s">
        <v>54</v>
      </c>
      <c r="B149" s="851"/>
      <c r="C149" s="851" t="s">
        <v>36</v>
      </c>
      <c r="D149" s="851" t="s">
        <v>49</v>
      </c>
      <c r="E149" s="851" t="s">
        <v>288</v>
      </c>
      <c r="F149" s="850"/>
      <c r="G149" s="852">
        <f>SUM(G151)</f>
        <v>3000</v>
      </c>
      <c r="H149" s="853">
        <f>SUM(H151)</f>
        <v>500</v>
      </c>
      <c r="I149" s="854">
        <f>SUM(I151)</f>
        <v>500</v>
      </c>
    </row>
    <row r="150" spans="1:9" s="808" customFormat="1" ht="12.75" customHeight="1" x14ac:dyDescent="0.2">
      <c r="A150" s="855" t="s">
        <v>31</v>
      </c>
      <c r="B150" s="851"/>
      <c r="C150" s="851" t="s">
        <v>36</v>
      </c>
      <c r="D150" s="851" t="s">
        <v>49</v>
      </c>
      <c r="E150" s="851" t="s">
        <v>288</v>
      </c>
      <c r="F150" s="851" t="s">
        <v>66</v>
      </c>
      <c r="G150" s="852">
        <f>G151</f>
        <v>3000</v>
      </c>
      <c r="H150" s="853">
        <f>H151</f>
        <v>500</v>
      </c>
      <c r="I150" s="854">
        <f>I151</f>
        <v>500</v>
      </c>
    </row>
    <row r="151" spans="1:9" s="808" customFormat="1" ht="12.75" x14ac:dyDescent="0.2">
      <c r="A151" s="855" t="s">
        <v>67</v>
      </c>
      <c r="B151" s="851"/>
      <c r="C151" s="851" t="s">
        <v>36</v>
      </c>
      <c r="D151" s="851" t="s">
        <v>49</v>
      </c>
      <c r="E151" s="851" t="s">
        <v>288</v>
      </c>
      <c r="F151" s="851" t="s">
        <v>68</v>
      </c>
      <c r="G151" s="852">
        <v>3000</v>
      </c>
      <c r="H151" s="853">
        <v>500</v>
      </c>
      <c r="I151" s="854">
        <v>500</v>
      </c>
    </row>
    <row r="152" spans="1:9" s="808" customFormat="1" ht="12.75" x14ac:dyDescent="0.2">
      <c r="A152" s="910" t="s">
        <v>410</v>
      </c>
      <c r="B152" s="845"/>
      <c r="C152" s="911" t="s">
        <v>36</v>
      </c>
      <c r="D152" s="911" t="s">
        <v>49</v>
      </c>
      <c r="E152" s="845" t="s">
        <v>386</v>
      </c>
      <c r="F152" s="911"/>
      <c r="G152" s="846">
        <f t="shared" ref="G152:H155" si="15">G153</f>
        <v>0</v>
      </c>
      <c r="H152" s="847">
        <f t="shared" si="15"/>
        <v>5671.5217400000001</v>
      </c>
      <c r="I152" s="848">
        <f>I155</f>
        <v>5630.2197900000001</v>
      </c>
    </row>
    <row r="153" spans="1:9" s="808" customFormat="1" ht="25.5" customHeight="1" x14ac:dyDescent="0.2">
      <c r="A153" s="849" t="s">
        <v>389</v>
      </c>
      <c r="B153" s="851"/>
      <c r="C153" s="912" t="s">
        <v>36</v>
      </c>
      <c r="D153" s="912" t="s">
        <v>49</v>
      </c>
      <c r="E153" s="851" t="s">
        <v>387</v>
      </c>
      <c r="F153" s="912"/>
      <c r="G153" s="852">
        <f t="shared" si="15"/>
        <v>0</v>
      </c>
      <c r="H153" s="853">
        <f t="shared" si="15"/>
        <v>5671.5217400000001</v>
      </c>
      <c r="I153" s="854">
        <f>I156</f>
        <v>5630.2197900000001</v>
      </c>
    </row>
    <row r="154" spans="1:9" s="808" customFormat="1" ht="12.75" x14ac:dyDescent="0.2">
      <c r="A154" s="849" t="s">
        <v>508</v>
      </c>
      <c r="B154" s="851"/>
      <c r="C154" s="912" t="s">
        <v>36</v>
      </c>
      <c r="D154" s="912" t="s">
        <v>49</v>
      </c>
      <c r="E154" s="851" t="s">
        <v>388</v>
      </c>
      <c r="F154" s="851"/>
      <c r="G154" s="852">
        <f t="shared" si="15"/>
        <v>0</v>
      </c>
      <c r="H154" s="853">
        <f t="shared" si="15"/>
        <v>5671.5217400000001</v>
      </c>
      <c r="I154" s="854">
        <f>I155</f>
        <v>5630.2197900000001</v>
      </c>
    </row>
    <row r="155" spans="1:9" s="808" customFormat="1" ht="13.5" x14ac:dyDescent="0.2">
      <c r="A155" s="855" t="s">
        <v>31</v>
      </c>
      <c r="B155" s="857"/>
      <c r="C155" s="851" t="s">
        <v>36</v>
      </c>
      <c r="D155" s="851" t="s">
        <v>49</v>
      </c>
      <c r="E155" s="851" t="s">
        <v>388</v>
      </c>
      <c r="F155" s="851" t="s">
        <v>66</v>
      </c>
      <c r="G155" s="852">
        <f t="shared" si="15"/>
        <v>0</v>
      </c>
      <c r="H155" s="853">
        <f t="shared" si="15"/>
        <v>5671.5217400000001</v>
      </c>
      <c r="I155" s="854">
        <f>I156</f>
        <v>5630.2197900000001</v>
      </c>
    </row>
    <row r="156" spans="1:9" s="808" customFormat="1" ht="13.5" thickBot="1" x14ac:dyDescent="0.25">
      <c r="A156" s="913" t="s">
        <v>67</v>
      </c>
      <c r="B156" s="914"/>
      <c r="C156" s="914" t="s">
        <v>36</v>
      </c>
      <c r="D156" s="914" t="s">
        <v>49</v>
      </c>
      <c r="E156" s="914" t="s">
        <v>388</v>
      </c>
      <c r="F156" s="914" t="s">
        <v>68</v>
      </c>
      <c r="G156" s="915">
        <f>пр.5!C23</f>
        <v>0</v>
      </c>
      <c r="H156" s="916">
        <v>5671.5217400000001</v>
      </c>
      <c r="I156" s="917">
        <f>5569.02174+61.19805</f>
        <v>5630.2197900000001</v>
      </c>
    </row>
    <row r="157" spans="1:9" s="808" customFormat="1" ht="14.25" thickBot="1" x14ac:dyDescent="0.25">
      <c r="A157" s="918" t="s">
        <v>35</v>
      </c>
      <c r="B157" s="919"/>
      <c r="C157" s="919" t="s">
        <v>36</v>
      </c>
      <c r="D157" s="919" t="s">
        <v>37</v>
      </c>
      <c r="E157" s="919"/>
      <c r="F157" s="919"/>
      <c r="G157" s="920">
        <f>G158</f>
        <v>3269.8642</v>
      </c>
      <c r="H157" s="921">
        <f>H158</f>
        <v>950</v>
      </c>
      <c r="I157" s="922">
        <f>I158</f>
        <v>900</v>
      </c>
    </row>
    <row r="158" spans="1:9" s="808" customFormat="1" ht="26.25" thickBot="1" x14ac:dyDescent="0.25">
      <c r="A158" s="923" t="s">
        <v>401</v>
      </c>
      <c r="B158" s="815"/>
      <c r="C158" s="815" t="s">
        <v>36</v>
      </c>
      <c r="D158" s="815" t="s">
        <v>37</v>
      </c>
      <c r="E158" s="815" t="s">
        <v>94</v>
      </c>
      <c r="F158" s="815"/>
      <c r="G158" s="924">
        <f t="shared" ref="G158:I159" si="16">G159</f>
        <v>3269.8642</v>
      </c>
      <c r="H158" s="925">
        <f t="shared" si="16"/>
        <v>950</v>
      </c>
      <c r="I158" s="926">
        <f t="shared" si="16"/>
        <v>900</v>
      </c>
    </row>
    <row r="159" spans="1:9" s="808" customFormat="1" ht="12.75" x14ac:dyDescent="0.2">
      <c r="A159" s="927" t="s">
        <v>13</v>
      </c>
      <c r="B159" s="928"/>
      <c r="C159" s="928" t="s">
        <v>36</v>
      </c>
      <c r="D159" s="928" t="s">
        <v>37</v>
      </c>
      <c r="E159" s="928" t="s">
        <v>95</v>
      </c>
      <c r="F159" s="928"/>
      <c r="G159" s="929">
        <f t="shared" si="16"/>
        <v>3269.8642</v>
      </c>
      <c r="H159" s="930">
        <f t="shared" si="16"/>
        <v>950</v>
      </c>
      <c r="I159" s="931">
        <f t="shared" si="16"/>
        <v>900</v>
      </c>
    </row>
    <row r="160" spans="1:9" s="808" customFormat="1" ht="12.75" x14ac:dyDescent="0.2">
      <c r="A160" s="932" t="s">
        <v>13</v>
      </c>
      <c r="B160" s="851"/>
      <c r="C160" s="851" t="s">
        <v>36</v>
      </c>
      <c r="D160" s="851" t="s">
        <v>37</v>
      </c>
      <c r="E160" s="851" t="s">
        <v>96</v>
      </c>
      <c r="F160" s="851"/>
      <c r="G160" s="852">
        <f>G161+G164+G172+G167</f>
        <v>3269.8642</v>
      </c>
      <c r="H160" s="853">
        <f>H161+H164+H172+H167</f>
        <v>950</v>
      </c>
      <c r="I160" s="854">
        <f>I161+I164+I172+I167</f>
        <v>900</v>
      </c>
    </row>
    <row r="161" spans="1:9" s="808" customFormat="1" ht="12.75" x14ac:dyDescent="0.2">
      <c r="A161" s="849" t="s">
        <v>103</v>
      </c>
      <c r="B161" s="851"/>
      <c r="C161" s="851" t="s">
        <v>36</v>
      </c>
      <c r="D161" s="851" t="s">
        <v>37</v>
      </c>
      <c r="E161" s="851" t="s">
        <v>104</v>
      </c>
      <c r="F161" s="850"/>
      <c r="G161" s="852">
        <f>G163</f>
        <v>2000</v>
      </c>
      <c r="H161" s="853">
        <f>H163</f>
        <v>550</v>
      </c>
      <c r="I161" s="854">
        <f>I163</f>
        <v>500</v>
      </c>
    </row>
    <row r="162" spans="1:9" s="808" customFormat="1" ht="12.75" x14ac:dyDescent="0.2">
      <c r="A162" s="855" t="s">
        <v>31</v>
      </c>
      <c r="B162" s="851"/>
      <c r="C162" s="851" t="s">
        <v>36</v>
      </c>
      <c r="D162" s="851" t="s">
        <v>37</v>
      </c>
      <c r="E162" s="851" t="s">
        <v>104</v>
      </c>
      <c r="F162" s="851" t="s">
        <v>66</v>
      </c>
      <c r="G162" s="852">
        <f>G163</f>
        <v>2000</v>
      </c>
      <c r="H162" s="853">
        <f>H163</f>
        <v>550</v>
      </c>
      <c r="I162" s="854">
        <f>I163</f>
        <v>500</v>
      </c>
    </row>
    <row r="163" spans="1:9" s="808" customFormat="1" ht="12.75" x14ac:dyDescent="0.2">
      <c r="A163" s="855" t="s">
        <v>67</v>
      </c>
      <c r="B163" s="851"/>
      <c r="C163" s="851" t="s">
        <v>36</v>
      </c>
      <c r="D163" s="851" t="s">
        <v>37</v>
      </c>
      <c r="E163" s="851" t="s">
        <v>104</v>
      </c>
      <c r="F163" s="851" t="s">
        <v>68</v>
      </c>
      <c r="G163" s="852">
        <f>338.49046+1661.50954</f>
        <v>2000</v>
      </c>
      <c r="H163" s="853">
        <v>550</v>
      </c>
      <c r="I163" s="854">
        <v>500</v>
      </c>
    </row>
    <row r="164" spans="1:9" s="808" customFormat="1" ht="12.75" x14ac:dyDescent="0.2">
      <c r="A164" s="849" t="s">
        <v>105</v>
      </c>
      <c r="B164" s="851"/>
      <c r="C164" s="851" t="s">
        <v>36</v>
      </c>
      <c r="D164" s="851" t="s">
        <v>37</v>
      </c>
      <c r="E164" s="851" t="s">
        <v>106</v>
      </c>
      <c r="F164" s="851"/>
      <c r="G164" s="852">
        <f>G166</f>
        <v>200</v>
      </c>
      <c r="H164" s="853">
        <f>H166</f>
        <v>0</v>
      </c>
      <c r="I164" s="854">
        <f>I166</f>
        <v>0</v>
      </c>
    </row>
    <row r="165" spans="1:9" s="808" customFormat="1" ht="12.75" x14ac:dyDescent="0.2">
      <c r="A165" s="855" t="s">
        <v>31</v>
      </c>
      <c r="B165" s="851"/>
      <c r="C165" s="851" t="s">
        <v>36</v>
      </c>
      <c r="D165" s="851" t="s">
        <v>37</v>
      </c>
      <c r="E165" s="851" t="s">
        <v>106</v>
      </c>
      <c r="F165" s="851" t="s">
        <v>66</v>
      </c>
      <c r="G165" s="852">
        <f>G166</f>
        <v>200</v>
      </c>
      <c r="H165" s="853">
        <f>H166</f>
        <v>0</v>
      </c>
      <c r="I165" s="854">
        <f>I166</f>
        <v>0</v>
      </c>
    </row>
    <row r="166" spans="1:9" s="808" customFormat="1" ht="12.75" x14ac:dyDescent="0.2">
      <c r="A166" s="855" t="s">
        <v>67</v>
      </c>
      <c r="B166" s="851"/>
      <c r="C166" s="851" t="s">
        <v>36</v>
      </c>
      <c r="D166" s="851" t="s">
        <v>37</v>
      </c>
      <c r="E166" s="851" t="s">
        <v>106</v>
      </c>
      <c r="F166" s="851" t="s">
        <v>68</v>
      </c>
      <c r="G166" s="852">
        <v>200</v>
      </c>
      <c r="H166" s="853">
        <v>0</v>
      </c>
      <c r="I166" s="854">
        <v>0</v>
      </c>
    </row>
    <row r="167" spans="1:9" s="808" customFormat="1" ht="12.75" x14ac:dyDescent="0.2">
      <c r="A167" s="849" t="s">
        <v>107</v>
      </c>
      <c r="B167" s="851"/>
      <c r="C167" s="851" t="s">
        <v>36</v>
      </c>
      <c r="D167" s="851" t="s">
        <v>37</v>
      </c>
      <c r="E167" s="851" t="s">
        <v>108</v>
      </c>
      <c r="F167" s="851"/>
      <c r="G167" s="852">
        <f t="shared" ref="G167:I168" si="17">G168</f>
        <v>600</v>
      </c>
      <c r="H167" s="853">
        <f t="shared" si="17"/>
        <v>400</v>
      </c>
      <c r="I167" s="854">
        <f t="shared" si="17"/>
        <v>400</v>
      </c>
    </row>
    <row r="168" spans="1:9" s="808" customFormat="1" ht="12.75" x14ac:dyDescent="0.2">
      <c r="A168" s="855" t="s">
        <v>31</v>
      </c>
      <c r="B168" s="851"/>
      <c r="C168" s="851" t="s">
        <v>36</v>
      </c>
      <c r="D168" s="851" t="s">
        <v>37</v>
      </c>
      <c r="E168" s="851" t="s">
        <v>108</v>
      </c>
      <c r="F168" s="851" t="s">
        <v>66</v>
      </c>
      <c r="G168" s="852">
        <f t="shared" si="17"/>
        <v>600</v>
      </c>
      <c r="H168" s="853">
        <f t="shared" si="17"/>
        <v>400</v>
      </c>
      <c r="I168" s="854">
        <f t="shared" si="17"/>
        <v>400</v>
      </c>
    </row>
    <row r="169" spans="1:9" s="808" customFormat="1" ht="12.75" x14ac:dyDescent="0.2">
      <c r="A169" s="858" t="s">
        <v>67</v>
      </c>
      <c r="B169" s="811"/>
      <c r="C169" s="811" t="s">
        <v>36</v>
      </c>
      <c r="D169" s="811" t="s">
        <v>37</v>
      </c>
      <c r="E169" s="811" t="s">
        <v>108</v>
      </c>
      <c r="F169" s="811" t="s">
        <v>68</v>
      </c>
      <c r="G169" s="859">
        <f>300+300</f>
        <v>600</v>
      </c>
      <c r="H169" s="860">
        <f>300+100</f>
        <v>400</v>
      </c>
      <c r="I169" s="861">
        <f>300+100</f>
        <v>400</v>
      </c>
    </row>
    <row r="170" spans="1:9" s="808" customFormat="1" ht="38.25" x14ac:dyDescent="0.2">
      <c r="A170" s="856" t="s">
        <v>154</v>
      </c>
      <c r="B170" s="851"/>
      <c r="C170" s="851" t="s">
        <v>36</v>
      </c>
      <c r="D170" s="851" t="s">
        <v>37</v>
      </c>
      <c r="E170" s="851" t="s">
        <v>213</v>
      </c>
      <c r="F170" s="851"/>
      <c r="G170" s="852">
        <f>SUM(G172)</f>
        <v>469.86419999999998</v>
      </c>
      <c r="H170" s="853">
        <f>SUM(H172)</f>
        <v>0</v>
      </c>
      <c r="I170" s="854">
        <f>SUM(I172)</f>
        <v>0</v>
      </c>
    </row>
    <row r="171" spans="1:9" s="808" customFormat="1" ht="12.75" x14ac:dyDescent="0.2">
      <c r="A171" s="855" t="s">
        <v>123</v>
      </c>
      <c r="B171" s="851"/>
      <c r="C171" s="851" t="s">
        <v>36</v>
      </c>
      <c r="D171" s="851" t="s">
        <v>37</v>
      </c>
      <c r="E171" s="851" t="s">
        <v>213</v>
      </c>
      <c r="F171" s="851" t="s">
        <v>78</v>
      </c>
      <c r="G171" s="852">
        <f>G172</f>
        <v>469.86419999999998</v>
      </c>
      <c r="H171" s="853">
        <f>H172</f>
        <v>0</v>
      </c>
      <c r="I171" s="854">
        <f>I172</f>
        <v>0</v>
      </c>
    </row>
    <row r="172" spans="1:9" s="808" customFormat="1" ht="13.5" thickBot="1" x14ac:dyDescent="0.25">
      <c r="A172" s="855" t="s">
        <v>79</v>
      </c>
      <c r="B172" s="851"/>
      <c r="C172" s="851" t="s">
        <v>36</v>
      </c>
      <c r="D172" s="851" t="s">
        <v>37</v>
      </c>
      <c r="E172" s="851" t="s">
        <v>213</v>
      </c>
      <c r="F172" s="851" t="s">
        <v>4</v>
      </c>
      <c r="G172" s="852">
        <f>469.8642</f>
        <v>469.86419999999998</v>
      </c>
      <c r="H172" s="853">
        <v>0</v>
      </c>
      <c r="I172" s="854">
        <v>0</v>
      </c>
    </row>
    <row r="173" spans="1:9" s="890" customFormat="1" ht="14.25" thickBot="1" x14ac:dyDescent="0.25">
      <c r="A173" s="833" t="s">
        <v>129</v>
      </c>
      <c r="B173" s="834"/>
      <c r="C173" s="834" t="s">
        <v>57</v>
      </c>
      <c r="D173" s="834"/>
      <c r="E173" s="834"/>
      <c r="F173" s="834"/>
      <c r="G173" s="835">
        <f>G174+G184+G191</f>
        <v>176970.32490000001</v>
      </c>
      <c r="H173" s="836">
        <f>H174+H184+H191</f>
        <v>55856.298962000001</v>
      </c>
      <c r="I173" s="837">
        <f>I174+I184+I191</f>
        <v>55645.803044</v>
      </c>
    </row>
    <row r="174" spans="1:9" s="890" customFormat="1" ht="14.25" thickBot="1" x14ac:dyDescent="0.25">
      <c r="A174" s="891" t="s">
        <v>110</v>
      </c>
      <c r="B174" s="877"/>
      <c r="C174" s="877" t="s">
        <v>57</v>
      </c>
      <c r="D174" s="877" t="s">
        <v>30</v>
      </c>
      <c r="E174" s="877"/>
      <c r="F174" s="877"/>
      <c r="G174" s="878">
        <f t="shared" ref="G174:I175" si="18">G175</f>
        <v>8098.4914200000003</v>
      </c>
      <c r="H174" s="879">
        <f t="shared" si="18"/>
        <v>8463.7593619999989</v>
      </c>
      <c r="I174" s="880">
        <f t="shared" si="18"/>
        <v>8753.2634440000002</v>
      </c>
    </row>
    <row r="175" spans="1:9" s="890" customFormat="1" ht="25.5" x14ac:dyDescent="0.2">
      <c r="A175" s="933" t="s">
        <v>401</v>
      </c>
      <c r="B175" s="884"/>
      <c r="C175" s="884" t="s">
        <v>57</v>
      </c>
      <c r="D175" s="884" t="s">
        <v>30</v>
      </c>
      <c r="E175" s="884" t="s">
        <v>94</v>
      </c>
      <c r="F175" s="884"/>
      <c r="G175" s="885">
        <f t="shared" si="18"/>
        <v>8098.4914200000003</v>
      </c>
      <c r="H175" s="886">
        <f t="shared" si="18"/>
        <v>8463.7593619999989</v>
      </c>
      <c r="I175" s="887">
        <f t="shared" si="18"/>
        <v>8753.2634440000002</v>
      </c>
    </row>
    <row r="176" spans="1:9" s="890" customFormat="1" ht="12.75" x14ac:dyDescent="0.2">
      <c r="A176" s="902" t="s">
        <v>13</v>
      </c>
      <c r="B176" s="845"/>
      <c r="C176" s="845" t="s">
        <v>57</v>
      </c>
      <c r="D176" s="845" t="s">
        <v>30</v>
      </c>
      <c r="E176" s="845" t="s">
        <v>95</v>
      </c>
      <c r="F176" s="845"/>
      <c r="G176" s="846">
        <f>SUM(G177)</f>
        <v>8098.4914200000003</v>
      </c>
      <c r="H176" s="847">
        <f>SUM(H177)</f>
        <v>8463.7593619999989</v>
      </c>
      <c r="I176" s="848">
        <f>SUM(I177)</f>
        <v>8753.2634440000002</v>
      </c>
    </row>
    <row r="177" spans="1:9" s="890" customFormat="1" ht="12.75" x14ac:dyDescent="0.2">
      <c r="A177" s="932" t="s">
        <v>13</v>
      </c>
      <c r="B177" s="851"/>
      <c r="C177" s="851" t="s">
        <v>57</v>
      </c>
      <c r="D177" s="851" t="s">
        <v>30</v>
      </c>
      <c r="E177" s="851" t="s">
        <v>96</v>
      </c>
      <c r="F177" s="851"/>
      <c r="G177" s="852">
        <f>SUM(G178+G181)</f>
        <v>8098.4914200000003</v>
      </c>
      <c r="H177" s="853">
        <f>SUM(H178+H181)</f>
        <v>8463.7593619999989</v>
      </c>
      <c r="I177" s="854">
        <f>SUM(I178+I181)</f>
        <v>8753.2634440000002</v>
      </c>
    </row>
    <row r="178" spans="1:9" s="890" customFormat="1" ht="12.75" x14ac:dyDescent="0.2">
      <c r="A178" s="849" t="s">
        <v>111</v>
      </c>
      <c r="B178" s="851"/>
      <c r="C178" s="851" t="s">
        <v>57</v>
      </c>
      <c r="D178" s="851" t="s">
        <v>30</v>
      </c>
      <c r="E178" s="851" t="s">
        <v>112</v>
      </c>
      <c r="F178" s="851"/>
      <c r="G178" s="852">
        <f t="shared" ref="G178:I179" si="19">G179</f>
        <v>913.04813999999999</v>
      </c>
      <c r="H178" s="853">
        <f t="shared" si="19"/>
        <v>1098.68</v>
      </c>
      <c r="I178" s="854">
        <f t="shared" si="19"/>
        <v>1208.548</v>
      </c>
    </row>
    <row r="179" spans="1:9" s="890" customFormat="1" ht="12.75" x14ac:dyDescent="0.2">
      <c r="A179" s="855" t="s">
        <v>31</v>
      </c>
      <c r="B179" s="851"/>
      <c r="C179" s="851" t="s">
        <v>57</v>
      </c>
      <c r="D179" s="851" t="s">
        <v>30</v>
      </c>
      <c r="E179" s="851" t="s">
        <v>112</v>
      </c>
      <c r="F179" s="851" t="s">
        <v>66</v>
      </c>
      <c r="G179" s="852">
        <f t="shared" si="19"/>
        <v>913.04813999999999</v>
      </c>
      <c r="H179" s="853">
        <f t="shared" si="19"/>
        <v>1098.68</v>
      </c>
      <c r="I179" s="854">
        <f t="shared" si="19"/>
        <v>1208.548</v>
      </c>
    </row>
    <row r="180" spans="1:9" s="890" customFormat="1" ht="12.75" x14ac:dyDescent="0.2">
      <c r="A180" s="855" t="s">
        <v>67</v>
      </c>
      <c r="B180" s="851"/>
      <c r="C180" s="851" t="s">
        <v>57</v>
      </c>
      <c r="D180" s="851" t="s">
        <v>30</v>
      </c>
      <c r="E180" s="851" t="s">
        <v>112</v>
      </c>
      <c r="F180" s="851" t="s">
        <v>68</v>
      </c>
      <c r="G180" s="852">
        <f>470+443.04814</f>
        <v>913.04813999999999</v>
      </c>
      <c r="H180" s="853">
        <v>1098.68</v>
      </c>
      <c r="I180" s="854">
        <v>1208.548</v>
      </c>
    </row>
    <row r="181" spans="1:9" s="890" customFormat="1" ht="12.75" x14ac:dyDescent="0.2">
      <c r="A181" s="849" t="s">
        <v>130</v>
      </c>
      <c r="B181" s="851"/>
      <c r="C181" s="851" t="s">
        <v>57</v>
      </c>
      <c r="D181" s="851" t="s">
        <v>30</v>
      </c>
      <c r="E181" s="851" t="s">
        <v>109</v>
      </c>
      <c r="F181" s="851"/>
      <c r="G181" s="852">
        <f>SUM(G183)</f>
        <v>7185.4432800000004</v>
      </c>
      <c r="H181" s="853">
        <f>SUM(H183)</f>
        <v>7365.0793619999995</v>
      </c>
      <c r="I181" s="854">
        <f>SUM(I183)</f>
        <v>7544.7154440000004</v>
      </c>
    </row>
    <row r="182" spans="1:9" s="890" customFormat="1" ht="12.75" x14ac:dyDescent="0.2">
      <c r="A182" s="855" t="s">
        <v>31</v>
      </c>
      <c r="B182" s="851"/>
      <c r="C182" s="851" t="s">
        <v>57</v>
      </c>
      <c r="D182" s="851" t="s">
        <v>30</v>
      </c>
      <c r="E182" s="851" t="s">
        <v>109</v>
      </c>
      <c r="F182" s="851" t="s">
        <v>66</v>
      </c>
      <c r="G182" s="852">
        <f>G183</f>
        <v>7185.4432800000004</v>
      </c>
      <c r="H182" s="853">
        <f>H183</f>
        <v>7365.0793619999995</v>
      </c>
      <c r="I182" s="854">
        <f>I183</f>
        <v>7544.7154440000004</v>
      </c>
    </row>
    <row r="183" spans="1:9" s="890" customFormat="1" ht="13.5" thickBot="1" x14ac:dyDescent="0.25">
      <c r="A183" s="855" t="s">
        <v>67</v>
      </c>
      <c r="B183" s="851"/>
      <c r="C183" s="851" t="s">
        <v>57</v>
      </c>
      <c r="D183" s="851" t="s">
        <v>30</v>
      </c>
      <c r="E183" s="851" t="s">
        <v>109</v>
      </c>
      <c r="F183" s="851" t="s">
        <v>68</v>
      </c>
      <c r="G183" s="852">
        <v>7185.4432800000004</v>
      </c>
      <c r="H183" s="853">
        <f>G183*1.025</f>
        <v>7365.0793619999995</v>
      </c>
      <c r="I183" s="854">
        <f>G183*1.05</f>
        <v>7544.7154440000004</v>
      </c>
    </row>
    <row r="184" spans="1:9" s="890" customFormat="1" ht="14.25" thickBot="1" x14ac:dyDescent="0.25">
      <c r="A184" s="833" t="s">
        <v>56</v>
      </c>
      <c r="B184" s="834"/>
      <c r="C184" s="834" t="s">
        <v>57</v>
      </c>
      <c r="D184" s="834" t="s">
        <v>58</v>
      </c>
      <c r="E184" s="834"/>
      <c r="F184" s="834"/>
      <c r="G184" s="835">
        <f t="shared" ref="G184:I186" si="20">G185</f>
        <v>500</v>
      </c>
      <c r="H184" s="836">
        <f t="shared" si="20"/>
        <v>394.01600000000002</v>
      </c>
      <c r="I184" s="837">
        <f t="shared" si="20"/>
        <v>394.01600000000002</v>
      </c>
    </row>
    <row r="185" spans="1:9" s="890" customFormat="1" ht="25.5" x14ac:dyDescent="0.2">
      <c r="A185" s="864" t="s">
        <v>396</v>
      </c>
      <c r="B185" s="850"/>
      <c r="C185" s="850" t="s">
        <v>57</v>
      </c>
      <c r="D185" s="850" t="s">
        <v>58</v>
      </c>
      <c r="E185" s="850" t="s">
        <v>55</v>
      </c>
      <c r="F185" s="850"/>
      <c r="G185" s="894">
        <f t="shared" si="20"/>
        <v>500</v>
      </c>
      <c r="H185" s="895">
        <f t="shared" si="20"/>
        <v>394.01600000000002</v>
      </c>
      <c r="I185" s="896">
        <f t="shared" si="20"/>
        <v>394.01600000000002</v>
      </c>
    </row>
    <row r="186" spans="1:9" s="890" customFormat="1" ht="13.5" x14ac:dyDescent="0.2">
      <c r="A186" s="844" t="s">
        <v>232</v>
      </c>
      <c r="B186" s="857"/>
      <c r="C186" s="845" t="s">
        <v>57</v>
      </c>
      <c r="D186" s="845" t="s">
        <v>58</v>
      </c>
      <c r="E186" s="845" t="s">
        <v>260</v>
      </c>
      <c r="F186" s="857"/>
      <c r="G186" s="846">
        <f t="shared" si="20"/>
        <v>500</v>
      </c>
      <c r="H186" s="847">
        <f t="shared" si="20"/>
        <v>394.01600000000002</v>
      </c>
      <c r="I186" s="848">
        <f t="shared" si="20"/>
        <v>394.01600000000002</v>
      </c>
    </row>
    <row r="187" spans="1:9" s="890" customFormat="1" ht="12.75" x14ac:dyDescent="0.2">
      <c r="A187" s="849" t="s">
        <v>258</v>
      </c>
      <c r="B187" s="851"/>
      <c r="C187" s="851" t="s">
        <v>57</v>
      </c>
      <c r="D187" s="851" t="s">
        <v>58</v>
      </c>
      <c r="E187" s="851" t="s">
        <v>259</v>
      </c>
      <c r="F187" s="851"/>
      <c r="G187" s="852">
        <f t="shared" ref="G187:I189" si="21">G188</f>
        <v>500</v>
      </c>
      <c r="H187" s="853">
        <f t="shared" si="21"/>
        <v>394.01600000000002</v>
      </c>
      <c r="I187" s="854">
        <f t="shared" si="21"/>
        <v>394.01600000000002</v>
      </c>
    </row>
    <row r="188" spans="1:9" s="890" customFormat="1" ht="12.75" x14ac:dyDescent="0.2">
      <c r="A188" s="849" t="s">
        <v>59</v>
      </c>
      <c r="B188" s="851"/>
      <c r="C188" s="851" t="s">
        <v>57</v>
      </c>
      <c r="D188" s="851" t="s">
        <v>58</v>
      </c>
      <c r="E188" s="851" t="s">
        <v>261</v>
      </c>
      <c r="F188" s="851"/>
      <c r="G188" s="852">
        <f t="shared" si="21"/>
        <v>500</v>
      </c>
      <c r="H188" s="853">
        <f t="shared" si="21"/>
        <v>394.01600000000002</v>
      </c>
      <c r="I188" s="854">
        <f t="shared" si="21"/>
        <v>394.01600000000002</v>
      </c>
    </row>
    <row r="189" spans="1:9" s="890" customFormat="1" ht="12.75" x14ac:dyDescent="0.2">
      <c r="A189" s="855" t="s">
        <v>31</v>
      </c>
      <c r="B189" s="851"/>
      <c r="C189" s="851" t="s">
        <v>57</v>
      </c>
      <c r="D189" s="851" t="s">
        <v>58</v>
      </c>
      <c r="E189" s="851" t="s">
        <v>261</v>
      </c>
      <c r="F189" s="851" t="s">
        <v>66</v>
      </c>
      <c r="G189" s="852">
        <f t="shared" si="21"/>
        <v>500</v>
      </c>
      <c r="H189" s="853">
        <f t="shared" si="21"/>
        <v>394.01600000000002</v>
      </c>
      <c r="I189" s="854">
        <f t="shared" si="21"/>
        <v>394.01600000000002</v>
      </c>
    </row>
    <row r="190" spans="1:9" s="890" customFormat="1" ht="13.5" thickBot="1" x14ac:dyDescent="0.25">
      <c r="A190" s="855" t="s">
        <v>67</v>
      </c>
      <c r="B190" s="851"/>
      <c r="C190" s="851" t="s">
        <v>57</v>
      </c>
      <c r="D190" s="851" t="s">
        <v>58</v>
      </c>
      <c r="E190" s="851" t="s">
        <v>261</v>
      </c>
      <c r="F190" s="851" t="s">
        <v>68</v>
      </c>
      <c r="G190" s="852">
        <v>500</v>
      </c>
      <c r="H190" s="853">
        <v>394.01600000000002</v>
      </c>
      <c r="I190" s="854">
        <v>394.01600000000002</v>
      </c>
    </row>
    <row r="191" spans="1:9" s="890" customFormat="1" ht="14.25" thickBot="1" x14ac:dyDescent="0.25">
      <c r="A191" s="833" t="s">
        <v>61</v>
      </c>
      <c r="B191" s="834"/>
      <c r="C191" s="834" t="s">
        <v>57</v>
      </c>
      <c r="D191" s="834" t="s">
        <v>40</v>
      </c>
      <c r="E191" s="834"/>
      <c r="F191" s="868"/>
      <c r="G191" s="835">
        <f>G192+G205+G211+G217+G228+G234</f>
        <v>168371.83348</v>
      </c>
      <c r="H191" s="836">
        <f>H192+H205+H211+H217+H228+H234</f>
        <v>46998.5236</v>
      </c>
      <c r="I191" s="837">
        <f>I192+I205+I211+I217+I228+I234</f>
        <v>46498.5236</v>
      </c>
    </row>
    <row r="192" spans="1:9" s="890" customFormat="1" ht="25.5" x14ac:dyDescent="0.2">
      <c r="A192" s="864" t="s">
        <v>394</v>
      </c>
      <c r="B192" s="850"/>
      <c r="C192" s="850" t="s">
        <v>57</v>
      </c>
      <c r="D192" s="850" t="s">
        <v>40</v>
      </c>
      <c r="E192" s="850" t="s">
        <v>60</v>
      </c>
      <c r="F192" s="850"/>
      <c r="G192" s="894">
        <f>G193</f>
        <v>142267.85149999999</v>
      </c>
      <c r="H192" s="895">
        <f>H193</f>
        <v>45218.5236</v>
      </c>
      <c r="I192" s="896">
        <f>I193</f>
        <v>45218.5236</v>
      </c>
    </row>
    <row r="193" spans="1:9" s="890" customFormat="1" ht="12.75" x14ac:dyDescent="0.2">
      <c r="A193" s="844" t="s">
        <v>232</v>
      </c>
      <c r="B193" s="845"/>
      <c r="C193" s="845" t="s">
        <v>57</v>
      </c>
      <c r="D193" s="845" t="s">
        <v>40</v>
      </c>
      <c r="E193" s="845" t="s">
        <v>262</v>
      </c>
      <c r="F193" s="845"/>
      <c r="G193" s="846">
        <f>G194+G201</f>
        <v>142267.85149999999</v>
      </c>
      <c r="H193" s="847">
        <f>H194+H201</f>
        <v>45218.5236</v>
      </c>
      <c r="I193" s="848">
        <f>I194+I201</f>
        <v>45218.5236</v>
      </c>
    </row>
    <row r="194" spans="1:9" s="808" customFormat="1" ht="25.5" x14ac:dyDescent="0.2">
      <c r="A194" s="849" t="s">
        <v>263</v>
      </c>
      <c r="B194" s="851"/>
      <c r="C194" s="851" t="s">
        <v>57</v>
      </c>
      <c r="D194" s="851" t="s">
        <v>40</v>
      </c>
      <c r="E194" s="851" t="s">
        <v>264</v>
      </c>
      <c r="F194" s="851"/>
      <c r="G194" s="852">
        <f>G195+G198</f>
        <v>139927.85149999999</v>
      </c>
      <c r="H194" s="853">
        <f>H195+H198</f>
        <v>44218.5236</v>
      </c>
      <c r="I194" s="854">
        <f>I195+I198</f>
        <v>44218.5236</v>
      </c>
    </row>
    <row r="195" spans="1:9" s="808" customFormat="1" ht="25.5" x14ac:dyDescent="0.2">
      <c r="A195" s="849" t="s">
        <v>378</v>
      </c>
      <c r="B195" s="851"/>
      <c r="C195" s="851" t="s">
        <v>57</v>
      </c>
      <c r="D195" s="851" t="s">
        <v>40</v>
      </c>
      <c r="E195" s="851" t="s">
        <v>265</v>
      </c>
      <c r="F195" s="851"/>
      <c r="G195" s="852">
        <f t="shared" ref="G195:I196" si="22">G196</f>
        <v>138002.37993999998</v>
      </c>
      <c r="H195" s="853">
        <f t="shared" si="22"/>
        <v>44218.5236</v>
      </c>
      <c r="I195" s="854">
        <f t="shared" si="22"/>
        <v>44218.5236</v>
      </c>
    </row>
    <row r="196" spans="1:9" s="890" customFormat="1" ht="12.75" x14ac:dyDescent="0.2">
      <c r="A196" s="855" t="s">
        <v>31</v>
      </c>
      <c r="B196" s="851"/>
      <c r="C196" s="851" t="s">
        <v>57</v>
      </c>
      <c r="D196" s="851" t="s">
        <v>40</v>
      </c>
      <c r="E196" s="851" t="s">
        <v>265</v>
      </c>
      <c r="F196" s="851" t="s">
        <v>66</v>
      </c>
      <c r="G196" s="852">
        <f t="shared" si="22"/>
        <v>138002.37993999998</v>
      </c>
      <c r="H196" s="853">
        <f t="shared" si="22"/>
        <v>44218.5236</v>
      </c>
      <c r="I196" s="854">
        <f t="shared" si="22"/>
        <v>44218.5236</v>
      </c>
    </row>
    <row r="197" spans="1:9" s="890" customFormat="1" ht="12.75" x14ac:dyDescent="0.2">
      <c r="A197" s="855" t="s">
        <v>67</v>
      </c>
      <c r="B197" s="851"/>
      <c r="C197" s="851" t="s">
        <v>57</v>
      </c>
      <c r="D197" s="851" t="s">
        <v>40</v>
      </c>
      <c r="E197" s="851" t="s">
        <v>265</v>
      </c>
      <c r="F197" s="851" t="s">
        <v>68</v>
      </c>
      <c r="G197" s="853">
        <f>68739.93925+13295.45927+55966.98142</f>
        <v>138002.37993999998</v>
      </c>
      <c r="H197" s="853">
        <f>44218.5236</f>
        <v>44218.5236</v>
      </c>
      <c r="I197" s="854">
        <v>44218.5236</v>
      </c>
    </row>
    <row r="198" spans="1:9" s="890" customFormat="1" ht="25.5" x14ac:dyDescent="0.2">
      <c r="A198" s="849" t="s">
        <v>266</v>
      </c>
      <c r="B198" s="934"/>
      <c r="C198" s="851" t="s">
        <v>57</v>
      </c>
      <c r="D198" s="851" t="s">
        <v>40</v>
      </c>
      <c r="E198" s="935" t="s">
        <v>267</v>
      </c>
      <c r="F198" s="935"/>
      <c r="G198" s="852">
        <f>SUM(G200)</f>
        <v>1925.4715600000002</v>
      </c>
      <c r="H198" s="853">
        <f>SUM(H200)</f>
        <v>0</v>
      </c>
      <c r="I198" s="854">
        <f>SUM(I200)</f>
        <v>0</v>
      </c>
    </row>
    <row r="199" spans="1:9" s="890" customFormat="1" ht="12.75" x14ac:dyDescent="0.2">
      <c r="A199" s="855" t="s">
        <v>31</v>
      </c>
      <c r="B199" s="934"/>
      <c r="C199" s="851" t="s">
        <v>57</v>
      </c>
      <c r="D199" s="851" t="s">
        <v>40</v>
      </c>
      <c r="E199" s="935" t="s">
        <v>267</v>
      </c>
      <c r="F199" s="935">
        <v>200</v>
      </c>
      <c r="G199" s="852">
        <f>G200</f>
        <v>1925.4715600000002</v>
      </c>
      <c r="H199" s="853">
        <f>H200</f>
        <v>0</v>
      </c>
      <c r="I199" s="854">
        <f>I200</f>
        <v>0</v>
      </c>
    </row>
    <row r="200" spans="1:9" s="890" customFormat="1" ht="12.75" x14ac:dyDescent="0.2">
      <c r="A200" s="855" t="s">
        <v>67</v>
      </c>
      <c r="B200" s="934"/>
      <c r="C200" s="851" t="s">
        <v>57</v>
      </c>
      <c r="D200" s="851" t="s">
        <v>40</v>
      </c>
      <c r="E200" s="935" t="s">
        <v>267</v>
      </c>
      <c r="F200" s="935">
        <v>240</v>
      </c>
      <c r="G200" s="852">
        <f>1893.91+31.56156</f>
        <v>1925.4715600000002</v>
      </c>
      <c r="H200" s="853">
        <v>0</v>
      </c>
      <c r="I200" s="854">
        <v>0</v>
      </c>
    </row>
    <row r="201" spans="1:9" s="890" customFormat="1" ht="12.75" x14ac:dyDescent="0.2">
      <c r="A201" s="849" t="s">
        <v>268</v>
      </c>
      <c r="B201" s="934"/>
      <c r="C201" s="851" t="s">
        <v>57</v>
      </c>
      <c r="D201" s="851" t="s">
        <v>40</v>
      </c>
      <c r="E201" s="851" t="s">
        <v>270</v>
      </c>
      <c r="F201" s="935"/>
      <c r="G201" s="852">
        <f t="shared" ref="G201:I203" si="23">G202</f>
        <v>2340</v>
      </c>
      <c r="H201" s="853">
        <f t="shared" si="23"/>
        <v>1000</v>
      </c>
      <c r="I201" s="854">
        <f t="shared" si="23"/>
        <v>1000</v>
      </c>
    </row>
    <row r="202" spans="1:9" s="890" customFormat="1" ht="12.75" x14ac:dyDescent="0.2">
      <c r="A202" s="849" t="s">
        <v>269</v>
      </c>
      <c r="B202" s="934"/>
      <c r="C202" s="851" t="s">
        <v>57</v>
      </c>
      <c r="D202" s="851" t="s">
        <v>40</v>
      </c>
      <c r="E202" s="851" t="s">
        <v>271</v>
      </c>
      <c r="F202" s="935"/>
      <c r="G202" s="852">
        <f t="shared" si="23"/>
        <v>2340</v>
      </c>
      <c r="H202" s="853">
        <f t="shared" si="23"/>
        <v>1000</v>
      </c>
      <c r="I202" s="854">
        <f t="shared" si="23"/>
        <v>1000</v>
      </c>
    </row>
    <row r="203" spans="1:9" s="890" customFormat="1" ht="12.75" x14ac:dyDescent="0.2">
      <c r="A203" s="855" t="s">
        <v>31</v>
      </c>
      <c r="B203" s="934"/>
      <c r="C203" s="851" t="s">
        <v>57</v>
      </c>
      <c r="D203" s="851" t="s">
        <v>40</v>
      </c>
      <c r="E203" s="851" t="s">
        <v>271</v>
      </c>
      <c r="F203" s="935">
        <v>200</v>
      </c>
      <c r="G203" s="852">
        <f t="shared" si="23"/>
        <v>2340</v>
      </c>
      <c r="H203" s="853">
        <f t="shared" si="23"/>
        <v>1000</v>
      </c>
      <c r="I203" s="854">
        <f t="shared" si="23"/>
        <v>1000</v>
      </c>
    </row>
    <row r="204" spans="1:9" s="890" customFormat="1" ht="12.75" x14ac:dyDescent="0.2">
      <c r="A204" s="855" t="s">
        <v>67</v>
      </c>
      <c r="B204" s="934"/>
      <c r="C204" s="851" t="s">
        <v>57</v>
      </c>
      <c r="D204" s="851" t="s">
        <v>40</v>
      </c>
      <c r="E204" s="851" t="s">
        <v>271</v>
      </c>
      <c r="F204" s="935">
        <v>240</v>
      </c>
      <c r="G204" s="852">
        <v>2340</v>
      </c>
      <c r="H204" s="853">
        <v>1000</v>
      </c>
      <c r="I204" s="854">
        <v>1000</v>
      </c>
    </row>
    <row r="205" spans="1:9" s="890" customFormat="1" ht="38.25" customHeight="1" x14ac:dyDescent="0.2">
      <c r="A205" s="864" t="s">
        <v>379</v>
      </c>
      <c r="B205" s="857"/>
      <c r="C205" s="850" t="s">
        <v>57</v>
      </c>
      <c r="D205" s="850" t="s">
        <v>40</v>
      </c>
      <c r="E205" s="850" t="s">
        <v>62</v>
      </c>
      <c r="F205" s="845"/>
      <c r="G205" s="894">
        <f>G206</f>
        <v>100</v>
      </c>
      <c r="H205" s="895">
        <f>H206</f>
        <v>100</v>
      </c>
      <c r="I205" s="896">
        <f>I206</f>
        <v>100</v>
      </c>
    </row>
    <row r="206" spans="1:9" s="890" customFormat="1" ht="12.75" x14ac:dyDescent="0.2">
      <c r="A206" s="844" t="s">
        <v>232</v>
      </c>
      <c r="B206" s="845"/>
      <c r="C206" s="845" t="s">
        <v>57</v>
      </c>
      <c r="D206" s="845" t="s">
        <v>40</v>
      </c>
      <c r="E206" s="845" t="s">
        <v>272</v>
      </c>
      <c r="F206" s="845"/>
      <c r="G206" s="846">
        <f>SUM(G207)</f>
        <v>100</v>
      </c>
      <c r="H206" s="847">
        <f>SUM(H207)</f>
        <v>100</v>
      </c>
      <c r="I206" s="848">
        <f>SUM(I207)</f>
        <v>100</v>
      </c>
    </row>
    <row r="207" spans="1:9" s="890" customFormat="1" ht="38.25" customHeight="1" x14ac:dyDescent="0.2">
      <c r="A207" s="849" t="s">
        <v>380</v>
      </c>
      <c r="B207" s="857"/>
      <c r="C207" s="851" t="s">
        <v>57</v>
      </c>
      <c r="D207" s="851" t="s">
        <v>40</v>
      </c>
      <c r="E207" s="851" t="s">
        <v>273</v>
      </c>
      <c r="F207" s="845"/>
      <c r="G207" s="852">
        <f>G210</f>
        <v>100</v>
      </c>
      <c r="H207" s="853">
        <f>H210</f>
        <v>100</v>
      </c>
      <c r="I207" s="854">
        <f>I210</f>
        <v>100</v>
      </c>
    </row>
    <row r="208" spans="1:9" s="890" customFormat="1" ht="13.5" x14ac:dyDescent="0.2">
      <c r="A208" s="849" t="s">
        <v>63</v>
      </c>
      <c r="B208" s="857"/>
      <c r="C208" s="851" t="s">
        <v>57</v>
      </c>
      <c r="D208" s="851" t="s">
        <v>40</v>
      </c>
      <c r="E208" s="851" t="s">
        <v>274</v>
      </c>
      <c r="F208" s="845"/>
      <c r="G208" s="852">
        <f t="shared" ref="G208:I209" si="24">G209</f>
        <v>100</v>
      </c>
      <c r="H208" s="853">
        <f t="shared" si="24"/>
        <v>100</v>
      </c>
      <c r="I208" s="854">
        <f t="shared" si="24"/>
        <v>100</v>
      </c>
    </row>
    <row r="209" spans="1:9" s="890" customFormat="1" ht="13.5" x14ac:dyDescent="0.2">
      <c r="A209" s="855" t="s">
        <v>31</v>
      </c>
      <c r="B209" s="857"/>
      <c r="C209" s="851" t="s">
        <v>57</v>
      </c>
      <c r="D209" s="851" t="s">
        <v>40</v>
      </c>
      <c r="E209" s="851" t="s">
        <v>274</v>
      </c>
      <c r="F209" s="851" t="s">
        <v>66</v>
      </c>
      <c r="G209" s="852">
        <f t="shared" si="24"/>
        <v>100</v>
      </c>
      <c r="H209" s="853">
        <f t="shared" si="24"/>
        <v>100</v>
      </c>
      <c r="I209" s="854">
        <f t="shared" si="24"/>
        <v>100</v>
      </c>
    </row>
    <row r="210" spans="1:9" s="890" customFormat="1" ht="13.5" x14ac:dyDescent="0.2">
      <c r="A210" s="855" t="s">
        <v>67</v>
      </c>
      <c r="B210" s="857"/>
      <c r="C210" s="851" t="s">
        <v>57</v>
      </c>
      <c r="D210" s="851" t="s">
        <v>40</v>
      </c>
      <c r="E210" s="851" t="s">
        <v>274</v>
      </c>
      <c r="F210" s="851" t="s">
        <v>68</v>
      </c>
      <c r="G210" s="852">
        <v>100</v>
      </c>
      <c r="H210" s="853">
        <v>100</v>
      </c>
      <c r="I210" s="854">
        <v>100</v>
      </c>
    </row>
    <row r="211" spans="1:9" s="890" customFormat="1" ht="51" x14ac:dyDescent="0.2">
      <c r="A211" s="936" t="s">
        <v>537</v>
      </c>
      <c r="B211" s="857"/>
      <c r="C211" s="850" t="s">
        <v>57</v>
      </c>
      <c r="D211" s="850" t="s">
        <v>40</v>
      </c>
      <c r="E211" s="937" t="s">
        <v>333</v>
      </c>
      <c r="F211" s="851"/>
      <c r="G211" s="894">
        <f t="shared" ref="G211:I212" si="25">G212</f>
        <v>1700</v>
      </c>
      <c r="H211" s="895">
        <f t="shared" si="25"/>
        <v>80</v>
      </c>
      <c r="I211" s="896">
        <f t="shared" si="25"/>
        <v>80</v>
      </c>
    </row>
    <row r="212" spans="1:9" s="890" customFormat="1" ht="12.75" x14ac:dyDescent="0.2">
      <c r="A212" s="844" t="s">
        <v>232</v>
      </c>
      <c r="B212" s="845"/>
      <c r="C212" s="845" t="s">
        <v>57</v>
      </c>
      <c r="D212" s="845" t="s">
        <v>40</v>
      </c>
      <c r="E212" s="845" t="s">
        <v>275</v>
      </c>
      <c r="F212" s="845"/>
      <c r="G212" s="846">
        <f t="shared" si="25"/>
        <v>1700</v>
      </c>
      <c r="H212" s="847">
        <f t="shared" si="25"/>
        <v>80</v>
      </c>
      <c r="I212" s="848">
        <f t="shared" si="25"/>
        <v>80</v>
      </c>
    </row>
    <row r="213" spans="1:9" s="890" customFormat="1" ht="12.75" x14ac:dyDescent="0.2">
      <c r="A213" s="849" t="s">
        <v>268</v>
      </c>
      <c r="B213" s="851"/>
      <c r="C213" s="851" t="s">
        <v>57</v>
      </c>
      <c r="D213" s="851" t="s">
        <v>40</v>
      </c>
      <c r="E213" s="851" t="s">
        <v>276</v>
      </c>
      <c r="F213" s="851"/>
      <c r="G213" s="852">
        <f>G215</f>
        <v>1700</v>
      </c>
      <c r="H213" s="853">
        <f>H215</f>
        <v>80</v>
      </c>
      <c r="I213" s="854">
        <f>I215</f>
        <v>80</v>
      </c>
    </row>
    <row r="214" spans="1:9" s="890" customFormat="1" ht="12" customHeight="1" x14ac:dyDescent="0.2">
      <c r="A214" s="849" t="s">
        <v>277</v>
      </c>
      <c r="B214" s="851"/>
      <c r="C214" s="851" t="s">
        <v>57</v>
      </c>
      <c r="D214" s="851" t="s">
        <v>40</v>
      </c>
      <c r="E214" s="851" t="s">
        <v>278</v>
      </c>
      <c r="F214" s="851"/>
      <c r="G214" s="852">
        <f t="shared" ref="G214:I215" si="26">G215</f>
        <v>1700</v>
      </c>
      <c r="H214" s="853">
        <f t="shared" si="26"/>
        <v>80</v>
      </c>
      <c r="I214" s="854">
        <f t="shared" si="26"/>
        <v>80</v>
      </c>
    </row>
    <row r="215" spans="1:9" s="890" customFormat="1" ht="13.5" x14ac:dyDescent="0.2">
      <c r="A215" s="938" t="s">
        <v>31</v>
      </c>
      <c r="B215" s="857"/>
      <c r="C215" s="851" t="s">
        <v>57</v>
      </c>
      <c r="D215" s="851" t="s">
        <v>40</v>
      </c>
      <c r="E215" s="851" t="s">
        <v>278</v>
      </c>
      <c r="F215" s="851" t="s">
        <v>66</v>
      </c>
      <c r="G215" s="852">
        <f t="shared" si="26"/>
        <v>1700</v>
      </c>
      <c r="H215" s="853">
        <f t="shared" si="26"/>
        <v>80</v>
      </c>
      <c r="I215" s="854">
        <f t="shared" si="26"/>
        <v>80</v>
      </c>
    </row>
    <row r="216" spans="1:9" s="890" customFormat="1" ht="13.5" x14ac:dyDescent="0.2">
      <c r="A216" s="939" t="s">
        <v>67</v>
      </c>
      <c r="B216" s="940"/>
      <c r="C216" s="865" t="s">
        <v>57</v>
      </c>
      <c r="D216" s="865" t="s">
        <v>40</v>
      </c>
      <c r="E216" s="865" t="s">
        <v>278</v>
      </c>
      <c r="F216" s="865" t="s">
        <v>68</v>
      </c>
      <c r="G216" s="853">
        <v>1700</v>
      </c>
      <c r="H216" s="853">
        <v>80</v>
      </c>
      <c r="I216" s="941">
        <v>80</v>
      </c>
    </row>
    <row r="217" spans="1:9" s="890" customFormat="1" ht="25.5" x14ac:dyDescent="0.2">
      <c r="A217" s="942" t="s">
        <v>382</v>
      </c>
      <c r="B217" s="940"/>
      <c r="C217" s="943" t="s">
        <v>57</v>
      </c>
      <c r="D217" s="943" t="s">
        <v>40</v>
      </c>
      <c r="E217" s="944" t="s">
        <v>334</v>
      </c>
      <c r="F217" s="865"/>
      <c r="G217" s="895">
        <f>G223+G218</f>
        <v>100</v>
      </c>
      <c r="H217" s="895">
        <f>H223+H218</f>
        <v>100</v>
      </c>
      <c r="I217" s="945">
        <f>I223+I218</f>
        <v>100</v>
      </c>
    </row>
    <row r="218" spans="1:9" s="890" customFormat="1" ht="12.75" x14ac:dyDescent="0.2">
      <c r="A218" s="946" t="s">
        <v>232</v>
      </c>
      <c r="B218" s="947"/>
      <c r="C218" s="948" t="s">
        <v>57</v>
      </c>
      <c r="D218" s="948" t="s">
        <v>40</v>
      </c>
      <c r="E218" s="947" t="s">
        <v>298</v>
      </c>
      <c r="F218" s="947"/>
      <c r="G218" s="847">
        <f t="shared" ref="G218:I219" si="27">G219</f>
        <v>50</v>
      </c>
      <c r="H218" s="847">
        <f t="shared" si="27"/>
        <v>50</v>
      </c>
      <c r="I218" s="949">
        <f t="shared" si="27"/>
        <v>50</v>
      </c>
    </row>
    <row r="219" spans="1:9" s="890" customFormat="1" ht="12.75" customHeight="1" x14ac:dyDescent="0.2">
      <c r="A219" s="950" t="s">
        <v>299</v>
      </c>
      <c r="B219" s="951"/>
      <c r="C219" s="952" t="s">
        <v>57</v>
      </c>
      <c r="D219" s="952" t="s">
        <v>40</v>
      </c>
      <c r="E219" s="951" t="s">
        <v>300</v>
      </c>
      <c r="F219" s="951"/>
      <c r="G219" s="853">
        <f t="shared" si="27"/>
        <v>50</v>
      </c>
      <c r="H219" s="853">
        <f t="shared" si="27"/>
        <v>50</v>
      </c>
      <c r="I219" s="941">
        <f t="shared" si="27"/>
        <v>50</v>
      </c>
    </row>
    <row r="220" spans="1:9" s="890" customFormat="1" ht="12.75" x14ac:dyDescent="0.2">
      <c r="A220" s="953" t="s">
        <v>302</v>
      </c>
      <c r="B220" s="951"/>
      <c r="C220" s="952" t="s">
        <v>57</v>
      </c>
      <c r="D220" s="952" t="s">
        <v>40</v>
      </c>
      <c r="E220" s="951" t="s">
        <v>301</v>
      </c>
      <c r="F220" s="951"/>
      <c r="G220" s="853">
        <f>G222</f>
        <v>50</v>
      </c>
      <c r="H220" s="853">
        <f>H222</f>
        <v>50</v>
      </c>
      <c r="I220" s="941">
        <f>I222</f>
        <v>50</v>
      </c>
    </row>
    <row r="221" spans="1:9" s="890" customFormat="1" ht="12.75" x14ac:dyDescent="0.2">
      <c r="A221" s="954" t="s">
        <v>31</v>
      </c>
      <c r="B221" s="951"/>
      <c r="C221" s="952" t="s">
        <v>57</v>
      </c>
      <c r="D221" s="952" t="s">
        <v>40</v>
      </c>
      <c r="E221" s="951" t="s">
        <v>301</v>
      </c>
      <c r="F221" s="955">
        <v>200</v>
      </c>
      <c r="G221" s="853">
        <f>G222</f>
        <v>50</v>
      </c>
      <c r="H221" s="853">
        <f>H222</f>
        <v>50</v>
      </c>
      <c r="I221" s="941">
        <f>I222</f>
        <v>50</v>
      </c>
    </row>
    <row r="222" spans="1:9" s="890" customFormat="1" ht="12.75" x14ac:dyDescent="0.2">
      <c r="A222" s="939" t="s">
        <v>67</v>
      </c>
      <c r="B222" s="951"/>
      <c r="C222" s="952" t="s">
        <v>57</v>
      </c>
      <c r="D222" s="952" t="s">
        <v>40</v>
      </c>
      <c r="E222" s="951" t="s">
        <v>301</v>
      </c>
      <c r="F222" s="951" t="s">
        <v>68</v>
      </c>
      <c r="G222" s="853">
        <v>50</v>
      </c>
      <c r="H222" s="853">
        <v>50</v>
      </c>
      <c r="I222" s="941">
        <v>50</v>
      </c>
    </row>
    <row r="223" spans="1:9" s="890" customFormat="1" ht="13.5" x14ac:dyDescent="0.2">
      <c r="A223" s="956" t="s">
        <v>410</v>
      </c>
      <c r="B223" s="940"/>
      <c r="C223" s="957" t="s">
        <v>57</v>
      </c>
      <c r="D223" s="957" t="s">
        <v>40</v>
      </c>
      <c r="E223" s="957" t="s">
        <v>321</v>
      </c>
      <c r="F223" s="957"/>
      <c r="G223" s="847">
        <f>G224</f>
        <v>50</v>
      </c>
      <c r="H223" s="847">
        <f>H224</f>
        <v>50</v>
      </c>
      <c r="I223" s="949">
        <f>I224</f>
        <v>50</v>
      </c>
    </row>
    <row r="224" spans="1:9" s="890" customFormat="1" ht="13.5" x14ac:dyDescent="0.2">
      <c r="A224" s="958" t="s">
        <v>320</v>
      </c>
      <c r="B224" s="940"/>
      <c r="C224" s="865" t="s">
        <v>57</v>
      </c>
      <c r="D224" s="865" t="s">
        <v>40</v>
      </c>
      <c r="E224" s="865" t="s">
        <v>322</v>
      </c>
      <c r="F224" s="865"/>
      <c r="G224" s="853">
        <f>G226</f>
        <v>50</v>
      </c>
      <c r="H224" s="853">
        <f>H226</f>
        <v>50</v>
      </c>
      <c r="I224" s="941">
        <f>I226</f>
        <v>50</v>
      </c>
    </row>
    <row r="225" spans="1:9" s="890" customFormat="1" ht="25.5" x14ac:dyDescent="0.2">
      <c r="A225" s="958" t="s">
        <v>383</v>
      </c>
      <c r="B225" s="940"/>
      <c r="C225" s="865" t="s">
        <v>57</v>
      </c>
      <c r="D225" s="865" t="s">
        <v>40</v>
      </c>
      <c r="E225" s="865" t="s">
        <v>323</v>
      </c>
      <c r="F225" s="865"/>
      <c r="G225" s="853">
        <f t="shared" ref="G225:I226" si="28">G226</f>
        <v>50</v>
      </c>
      <c r="H225" s="853">
        <f t="shared" si="28"/>
        <v>50</v>
      </c>
      <c r="I225" s="941">
        <f t="shared" si="28"/>
        <v>50</v>
      </c>
    </row>
    <row r="226" spans="1:9" s="890" customFormat="1" ht="13.5" x14ac:dyDescent="0.2">
      <c r="A226" s="939" t="s">
        <v>31</v>
      </c>
      <c r="B226" s="940"/>
      <c r="C226" s="865" t="s">
        <v>57</v>
      </c>
      <c r="D226" s="865" t="s">
        <v>40</v>
      </c>
      <c r="E226" s="865" t="s">
        <v>323</v>
      </c>
      <c r="F226" s="865" t="s">
        <v>66</v>
      </c>
      <c r="G226" s="853">
        <f t="shared" si="28"/>
        <v>50</v>
      </c>
      <c r="H226" s="853">
        <f t="shared" si="28"/>
        <v>50</v>
      </c>
      <c r="I226" s="941">
        <f t="shared" si="28"/>
        <v>50</v>
      </c>
    </row>
    <row r="227" spans="1:9" s="890" customFormat="1" ht="13.5" x14ac:dyDescent="0.2">
      <c r="A227" s="939" t="s">
        <v>67</v>
      </c>
      <c r="B227" s="940"/>
      <c r="C227" s="865" t="s">
        <v>57</v>
      </c>
      <c r="D227" s="865" t="s">
        <v>40</v>
      </c>
      <c r="E227" s="865" t="s">
        <v>323</v>
      </c>
      <c r="F227" s="865" t="s">
        <v>68</v>
      </c>
      <c r="G227" s="853">
        <v>50</v>
      </c>
      <c r="H227" s="853">
        <v>50</v>
      </c>
      <c r="I227" s="941">
        <v>50</v>
      </c>
    </row>
    <row r="228" spans="1:9" s="890" customFormat="1" ht="39" customHeight="1" x14ac:dyDescent="0.2">
      <c r="A228" s="864" t="s">
        <v>384</v>
      </c>
      <c r="B228" s="851"/>
      <c r="C228" s="850" t="s">
        <v>57</v>
      </c>
      <c r="D228" s="850" t="s">
        <v>40</v>
      </c>
      <c r="E228" s="850" t="s">
        <v>64</v>
      </c>
      <c r="F228" s="850"/>
      <c r="G228" s="894">
        <f t="shared" ref="G228:I229" si="29">G229</f>
        <v>21839.96038</v>
      </c>
      <c r="H228" s="895">
        <f t="shared" si="29"/>
        <v>1500</v>
      </c>
      <c r="I228" s="896">
        <f t="shared" si="29"/>
        <v>1000</v>
      </c>
    </row>
    <row r="229" spans="1:9" s="890" customFormat="1" ht="12.75" x14ac:dyDescent="0.2">
      <c r="A229" s="844" t="s">
        <v>422</v>
      </c>
      <c r="B229" s="845"/>
      <c r="C229" s="845" t="s">
        <v>57</v>
      </c>
      <c r="D229" s="845" t="s">
        <v>40</v>
      </c>
      <c r="E229" s="845" t="s">
        <v>319</v>
      </c>
      <c r="F229" s="845"/>
      <c r="G229" s="846">
        <f t="shared" si="29"/>
        <v>21839.96038</v>
      </c>
      <c r="H229" s="847">
        <f t="shared" si="29"/>
        <v>1500</v>
      </c>
      <c r="I229" s="848">
        <f t="shared" si="29"/>
        <v>1000</v>
      </c>
    </row>
    <row r="230" spans="1:9" s="890" customFormat="1" ht="12.75" x14ac:dyDescent="0.2">
      <c r="A230" s="849" t="s">
        <v>324</v>
      </c>
      <c r="B230" s="851"/>
      <c r="C230" s="851" t="s">
        <v>57</v>
      </c>
      <c r="D230" s="851" t="s">
        <v>40</v>
      </c>
      <c r="E230" s="851" t="s">
        <v>455</v>
      </c>
      <c r="F230" s="851"/>
      <c r="G230" s="852">
        <f>G232</f>
        <v>21839.96038</v>
      </c>
      <c r="H230" s="853">
        <f>H232</f>
        <v>1500</v>
      </c>
      <c r="I230" s="854">
        <f>I232</f>
        <v>1000</v>
      </c>
    </row>
    <row r="231" spans="1:9" s="890" customFormat="1" ht="12.75" x14ac:dyDescent="0.2">
      <c r="A231" s="849" t="s">
        <v>153</v>
      </c>
      <c r="B231" s="851"/>
      <c r="C231" s="851" t="s">
        <v>57</v>
      </c>
      <c r="D231" s="851" t="s">
        <v>40</v>
      </c>
      <c r="E231" s="851" t="s">
        <v>456</v>
      </c>
      <c r="F231" s="851"/>
      <c r="G231" s="852">
        <f t="shared" ref="G231:I232" si="30">G232</f>
        <v>21839.96038</v>
      </c>
      <c r="H231" s="853">
        <f t="shared" si="30"/>
        <v>1500</v>
      </c>
      <c r="I231" s="854">
        <f t="shared" si="30"/>
        <v>1000</v>
      </c>
    </row>
    <row r="232" spans="1:9" s="890" customFormat="1" ht="12.75" x14ac:dyDescent="0.2">
      <c r="A232" s="855" t="s">
        <v>31</v>
      </c>
      <c r="B232" s="851"/>
      <c r="C232" s="851" t="s">
        <v>57</v>
      </c>
      <c r="D232" s="851" t="s">
        <v>40</v>
      </c>
      <c r="E232" s="959" t="s">
        <v>456</v>
      </c>
      <c r="F232" s="851" t="s">
        <v>66</v>
      </c>
      <c r="G232" s="852">
        <f t="shared" si="30"/>
        <v>21839.96038</v>
      </c>
      <c r="H232" s="853">
        <f t="shared" si="30"/>
        <v>1500</v>
      </c>
      <c r="I232" s="854">
        <f t="shared" si="30"/>
        <v>1000</v>
      </c>
    </row>
    <row r="233" spans="1:9" s="890" customFormat="1" ht="12.75" x14ac:dyDescent="0.2">
      <c r="A233" s="855" t="s">
        <v>67</v>
      </c>
      <c r="B233" s="851"/>
      <c r="C233" s="851" t="s">
        <v>57</v>
      </c>
      <c r="D233" s="851" t="s">
        <v>40</v>
      </c>
      <c r="E233" s="959" t="s">
        <v>456</v>
      </c>
      <c r="F233" s="851" t="s">
        <v>68</v>
      </c>
      <c r="G233" s="852">
        <f>20721.02502+1118.93536</f>
        <v>21839.96038</v>
      </c>
      <c r="H233" s="853">
        <v>1500</v>
      </c>
      <c r="I233" s="854">
        <v>1000</v>
      </c>
    </row>
    <row r="234" spans="1:9" s="890" customFormat="1" ht="63.75" x14ac:dyDescent="0.2">
      <c r="A234" s="960" t="s">
        <v>536</v>
      </c>
      <c r="B234" s="851"/>
      <c r="C234" s="850" t="s">
        <v>57</v>
      </c>
      <c r="D234" s="850" t="s">
        <v>40</v>
      </c>
      <c r="E234" s="961" t="s">
        <v>364</v>
      </c>
      <c r="F234" s="851"/>
      <c r="G234" s="895">
        <f>G235+G3439</f>
        <v>2364.0216</v>
      </c>
      <c r="H234" s="895">
        <f>H235+H3439</f>
        <v>0</v>
      </c>
      <c r="I234" s="945">
        <f>I235+I3439</f>
        <v>0</v>
      </c>
    </row>
    <row r="235" spans="1:9" s="890" customFormat="1" ht="12.75" x14ac:dyDescent="0.2">
      <c r="A235" s="962" t="s">
        <v>232</v>
      </c>
      <c r="B235" s="851"/>
      <c r="C235" s="845" t="s">
        <v>57</v>
      </c>
      <c r="D235" s="845" t="s">
        <v>40</v>
      </c>
      <c r="E235" s="963" t="s">
        <v>365</v>
      </c>
      <c r="F235" s="851"/>
      <c r="G235" s="852">
        <f t="shared" ref="G235:I236" si="31">G236</f>
        <v>2364.0216</v>
      </c>
      <c r="H235" s="853">
        <f t="shared" si="31"/>
        <v>0</v>
      </c>
      <c r="I235" s="854">
        <f t="shared" si="31"/>
        <v>0</v>
      </c>
    </row>
    <row r="236" spans="1:9" s="890" customFormat="1" ht="25.5" x14ac:dyDescent="0.2">
      <c r="A236" s="964" t="s">
        <v>362</v>
      </c>
      <c r="B236" s="851"/>
      <c r="C236" s="851" t="s">
        <v>57</v>
      </c>
      <c r="D236" s="851" t="s">
        <v>40</v>
      </c>
      <c r="E236" s="899" t="s">
        <v>366</v>
      </c>
      <c r="F236" s="851"/>
      <c r="G236" s="852">
        <f t="shared" si="31"/>
        <v>2364.0216</v>
      </c>
      <c r="H236" s="853">
        <f t="shared" si="31"/>
        <v>0</v>
      </c>
      <c r="I236" s="854">
        <f t="shared" si="31"/>
        <v>0</v>
      </c>
    </row>
    <row r="237" spans="1:9" s="890" customFormat="1" ht="25.5" x14ac:dyDescent="0.2">
      <c r="A237" s="964" t="s">
        <v>367</v>
      </c>
      <c r="B237" s="851"/>
      <c r="C237" s="851" t="s">
        <v>57</v>
      </c>
      <c r="D237" s="851" t="s">
        <v>40</v>
      </c>
      <c r="E237" s="899" t="s">
        <v>363</v>
      </c>
      <c r="F237" s="851"/>
      <c r="G237" s="852">
        <f t="shared" ref="G237:I238" si="32">G238</f>
        <v>2364.0216</v>
      </c>
      <c r="H237" s="853">
        <f t="shared" si="32"/>
        <v>0</v>
      </c>
      <c r="I237" s="854">
        <f t="shared" si="32"/>
        <v>0</v>
      </c>
    </row>
    <row r="238" spans="1:9" s="890" customFormat="1" ht="12.75" x14ac:dyDescent="0.2">
      <c r="A238" s="866" t="s">
        <v>31</v>
      </c>
      <c r="B238" s="851"/>
      <c r="C238" s="851" t="s">
        <v>57</v>
      </c>
      <c r="D238" s="851" t="s">
        <v>40</v>
      </c>
      <c r="E238" s="899" t="s">
        <v>363</v>
      </c>
      <c r="F238" s="851" t="s">
        <v>66</v>
      </c>
      <c r="G238" s="852">
        <f t="shared" si="32"/>
        <v>2364.0216</v>
      </c>
      <c r="H238" s="853">
        <f t="shared" si="32"/>
        <v>0</v>
      </c>
      <c r="I238" s="854">
        <f t="shared" si="32"/>
        <v>0</v>
      </c>
    </row>
    <row r="239" spans="1:9" s="890" customFormat="1" ht="13.5" thickBot="1" x14ac:dyDescent="0.25">
      <c r="A239" s="855" t="s">
        <v>67</v>
      </c>
      <c r="B239" s="851"/>
      <c r="C239" s="851" t="s">
        <v>57</v>
      </c>
      <c r="D239" s="851" t="s">
        <v>40</v>
      </c>
      <c r="E239" s="899" t="s">
        <v>363</v>
      </c>
      <c r="F239" s="851" t="s">
        <v>68</v>
      </c>
      <c r="G239" s="852">
        <f>пр.2!C66+189.1216</f>
        <v>2364.0216</v>
      </c>
      <c r="H239" s="853">
        <f>пр.2!D66</f>
        <v>0</v>
      </c>
      <c r="I239" s="854">
        <f>пр.2!E66</f>
        <v>0</v>
      </c>
    </row>
    <row r="240" spans="1:9" s="890" customFormat="1" ht="14.25" thickBot="1" x14ac:dyDescent="0.25">
      <c r="A240" s="833" t="s">
        <v>131</v>
      </c>
      <c r="B240" s="834"/>
      <c r="C240" s="834" t="s">
        <v>43</v>
      </c>
      <c r="D240" s="834"/>
      <c r="E240" s="834"/>
      <c r="F240" s="834"/>
      <c r="G240" s="835">
        <f>G241+G248</f>
        <v>1863.1</v>
      </c>
      <c r="H240" s="836">
        <f>H241+H248</f>
        <v>1663.1</v>
      </c>
      <c r="I240" s="837">
        <f>I241+I248</f>
        <v>1663.1</v>
      </c>
    </row>
    <row r="241" spans="1:9" s="838" customFormat="1" ht="14.25" thickBot="1" x14ac:dyDescent="0.3">
      <c r="A241" s="891" t="s">
        <v>297</v>
      </c>
      <c r="B241" s="877"/>
      <c r="C241" s="877" t="s">
        <v>43</v>
      </c>
      <c r="D241" s="877" t="s">
        <v>43</v>
      </c>
      <c r="E241" s="877"/>
      <c r="F241" s="877"/>
      <c r="G241" s="878">
        <f t="shared" ref="G241:I243" si="33">G242</f>
        <v>763.1</v>
      </c>
      <c r="H241" s="879">
        <f t="shared" si="33"/>
        <v>563.1</v>
      </c>
      <c r="I241" s="880">
        <f t="shared" si="33"/>
        <v>563.1</v>
      </c>
    </row>
    <row r="242" spans="1:9" s="820" customFormat="1" ht="25.5" x14ac:dyDescent="0.2">
      <c r="A242" s="892" t="s">
        <v>372</v>
      </c>
      <c r="B242" s="884"/>
      <c r="C242" s="884" t="s">
        <v>43</v>
      </c>
      <c r="D242" s="884" t="s">
        <v>43</v>
      </c>
      <c r="E242" s="884" t="s">
        <v>41</v>
      </c>
      <c r="F242" s="884"/>
      <c r="G242" s="885">
        <f>G243+G273</f>
        <v>763.1</v>
      </c>
      <c r="H242" s="885">
        <f>H243+H273</f>
        <v>563.1</v>
      </c>
      <c r="I242" s="887">
        <f>I243</f>
        <v>563.1</v>
      </c>
    </row>
    <row r="243" spans="1:9" s="890" customFormat="1" ht="12.75" x14ac:dyDescent="0.2">
      <c r="A243" s="844" t="s">
        <v>232</v>
      </c>
      <c r="B243" s="845"/>
      <c r="C243" s="845" t="s">
        <v>43</v>
      </c>
      <c r="D243" s="845" t="s">
        <v>43</v>
      </c>
      <c r="E243" s="845" t="s">
        <v>233</v>
      </c>
      <c r="F243" s="845"/>
      <c r="G243" s="846">
        <f>G244</f>
        <v>763.1</v>
      </c>
      <c r="H243" s="847">
        <f t="shared" si="33"/>
        <v>563.1</v>
      </c>
      <c r="I243" s="848">
        <f t="shared" si="33"/>
        <v>563.1</v>
      </c>
    </row>
    <row r="244" spans="1:9" s="890" customFormat="1" ht="12.75" customHeight="1" x14ac:dyDescent="0.2">
      <c r="A244" s="844" t="s">
        <v>237</v>
      </c>
      <c r="B244" s="845"/>
      <c r="C244" s="845" t="s">
        <v>43</v>
      </c>
      <c r="D244" s="845" t="s">
        <v>43</v>
      </c>
      <c r="E244" s="845" t="s">
        <v>238</v>
      </c>
      <c r="F244" s="845"/>
      <c r="G244" s="846">
        <f>SUM(G245)</f>
        <v>763.1</v>
      </c>
      <c r="H244" s="847">
        <f>SUM(H245)</f>
        <v>563.1</v>
      </c>
      <c r="I244" s="848">
        <f>SUM(I245)</f>
        <v>563.1</v>
      </c>
    </row>
    <row r="245" spans="1:9" s="808" customFormat="1" ht="12.75" x14ac:dyDescent="0.2">
      <c r="A245" s="849" t="s">
        <v>44</v>
      </c>
      <c r="B245" s="851"/>
      <c r="C245" s="851" t="s">
        <v>43</v>
      </c>
      <c r="D245" s="851" t="s">
        <v>43</v>
      </c>
      <c r="E245" s="851" t="s">
        <v>239</v>
      </c>
      <c r="F245" s="851"/>
      <c r="G245" s="852">
        <f>G247</f>
        <v>763.1</v>
      </c>
      <c r="H245" s="853">
        <f>H247</f>
        <v>563.1</v>
      </c>
      <c r="I245" s="854">
        <f>I247</f>
        <v>563.1</v>
      </c>
    </row>
    <row r="246" spans="1:9" s="808" customFormat="1" ht="12.75" x14ac:dyDescent="0.2">
      <c r="A246" s="855" t="s">
        <v>31</v>
      </c>
      <c r="B246" s="851"/>
      <c r="C246" s="851" t="s">
        <v>43</v>
      </c>
      <c r="D246" s="851" t="s">
        <v>43</v>
      </c>
      <c r="E246" s="851" t="s">
        <v>239</v>
      </c>
      <c r="F246" s="851" t="s">
        <v>66</v>
      </c>
      <c r="G246" s="852">
        <f>G247</f>
        <v>763.1</v>
      </c>
      <c r="H246" s="853">
        <f>H247</f>
        <v>563.1</v>
      </c>
      <c r="I246" s="854">
        <f>I247</f>
        <v>563.1</v>
      </c>
    </row>
    <row r="247" spans="1:9" s="808" customFormat="1" ht="13.5" thickBot="1" x14ac:dyDescent="0.25">
      <c r="A247" s="858" t="s">
        <v>67</v>
      </c>
      <c r="B247" s="811"/>
      <c r="C247" s="811" t="s">
        <v>43</v>
      </c>
      <c r="D247" s="811" t="s">
        <v>43</v>
      </c>
      <c r="E247" s="811" t="s">
        <v>239</v>
      </c>
      <c r="F247" s="811" t="s">
        <v>68</v>
      </c>
      <c r="G247" s="859">
        <f>563.1+200</f>
        <v>763.1</v>
      </c>
      <c r="H247" s="860">
        <v>563.1</v>
      </c>
      <c r="I247" s="861">
        <f>H247</f>
        <v>563.1</v>
      </c>
    </row>
    <row r="248" spans="1:9" s="808" customFormat="1" ht="14.25" thickBot="1" x14ac:dyDescent="0.25">
      <c r="A248" s="867" t="s">
        <v>296</v>
      </c>
      <c r="B248" s="816"/>
      <c r="C248" s="834" t="s">
        <v>43</v>
      </c>
      <c r="D248" s="834" t="s">
        <v>49</v>
      </c>
      <c r="E248" s="834"/>
      <c r="F248" s="834"/>
      <c r="G248" s="835">
        <f>G252</f>
        <v>1100</v>
      </c>
      <c r="H248" s="836">
        <f>H252</f>
        <v>1100</v>
      </c>
      <c r="I248" s="837">
        <f>I252</f>
        <v>1100</v>
      </c>
    </row>
    <row r="249" spans="1:9" s="808" customFormat="1" ht="25.5" x14ac:dyDescent="0.2">
      <c r="A249" s="965" t="s">
        <v>372</v>
      </c>
      <c r="B249" s="909"/>
      <c r="C249" s="909" t="s">
        <v>43</v>
      </c>
      <c r="D249" s="909" t="s">
        <v>49</v>
      </c>
      <c r="E249" s="840" t="s">
        <v>41</v>
      </c>
      <c r="F249" s="909"/>
      <c r="G249" s="966">
        <f t="shared" ref="G249:I253" si="34">G250</f>
        <v>1100</v>
      </c>
      <c r="H249" s="967">
        <f t="shared" si="34"/>
        <v>1100</v>
      </c>
      <c r="I249" s="968">
        <f t="shared" si="34"/>
        <v>1100</v>
      </c>
    </row>
    <row r="250" spans="1:9" s="890" customFormat="1" ht="12.75" x14ac:dyDescent="0.2">
      <c r="A250" s="844" t="s">
        <v>232</v>
      </c>
      <c r="B250" s="845"/>
      <c r="C250" s="845" t="s">
        <v>43</v>
      </c>
      <c r="D250" s="845" t="s">
        <v>49</v>
      </c>
      <c r="E250" s="845" t="s">
        <v>233</v>
      </c>
      <c r="F250" s="845"/>
      <c r="G250" s="846">
        <f t="shared" si="34"/>
        <v>1100</v>
      </c>
      <c r="H250" s="847">
        <f t="shared" si="34"/>
        <v>1100</v>
      </c>
      <c r="I250" s="848">
        <f t="shared" si="34"/>
        <v>1100</v>
      </c>
    </row>
    <row r="251" spans="1:9" s="808" customFormat="1" ht="25.5" x14ac:dyDescent="0.2">
      <c r="A251" s="844" t="s">
        <v>234</v>
      </c>
      <c r="B251" s="845"/>
      <c r="C251" s="845" t="s">
        <v>43</v>
      </c>
      <c r="D251" s="845" t="s">
        <v>49</v>
      </c>
      <c r="E251" s="845" t="s">
        <v>235</v>
      </c>
      <c r="F251" s="851"/>
      <c r="G251" s="852">
        <f t="shared" si="34"/>
        <v>1100</v>
      </c>
      <c r="H251" s="853">
        <f t="shared" si="34"/>
        <v>1100</v>
      </c>
      <c r="I251" s="854">
        <f t="shared" si="34"/>
        <v>1100</v>
      </c>
    </row>
    <row r="252" spans="1:9" s="808" customFormat="1" ht="12.75" x14ac:dyDescent="0.2">
      <c r="A252" s="849" t="s">
        <v>42</v>
      </c>
      <c r="B252" s="851"/>
      <c r="C252" s="851" t="s">
        <v>43</v>
      </c>
      <c r="D252" s="851" t="s">
        <v>49</v>
      </c>
      <c r="E252" s="851" t="s">
        <v>236</v>
      </c>
      <c r="F252" s="851"/>
      <c r="G252" s="852">
        <f t="shared" si="34"/>
        <v>1100</v>
      </c>
      <c r="H252" s="853">
        <f t="shared" si="34"/>
        <v>1100</v>
      </c>
      <c r="I252" s="854">
        <f t="shared" si="34"/>
        <v>1100</v>
      </c>
    </row>
    <row r="253" spans="1:9" s="808" customFormat="1" ht="12.75" x14ac:dyDescent="0.2">
      <c r="A253" s="855" t="s">
        <v>31</v>
      </c>
      <c r="B253" s="851"/>
      <c r="C253" s="851" t="s">
        <v>43</v>
      </c>
      <c r="D253" s="851" t="s">
        <v>49</v>
      </c>
      <c r="E253" s="851" t="s">
        <v>236</v>
      </c>
      <c r="F253" s="851" t="s">
        <v>66</v>
      </c>
      <c r="G253" s="852">
        <f t="shared" si="34"/>
        <v>1100</v>
      </c>
      <c r="H253" s="853">
        <f t="shared" si="34"/>
        <v>1100</v>
      </c>
      <c r="I253" s="854">
        <f t="shared" si="34"/>
        <v>1100</v>
      </c>
    </row>
    <row r="254" spans="1:9" s="808" customFormat="1" ht="13.5" thickBot="1" x14ac:dyDescent="0.25">
      <c r="A254" s="858" t="s">
        <v>67</v>
      </c>
      <c r="B254" s="811"/>
      <c r="C254" s="811" t="s">
        <v>43</v>
      </c>
      <c r="D254" s="811" t="s">
        <v>49</v>
      </c>
      <c r="E254" s="811" t="s">
        <v>236</v>
      </c>
      <c r="F254" s="811" t="s">
        <v>68</v>
      </c>
      <c r="G254" s="859">
        <v>1100</v>
      </c>
      <c r="H254" s="860">
        <v>1100</v>
      </c>
      <c r="I254" s="861">
        <v>1100</v>
      </c>
    </row>
    <row r="255" spans="1:9" s="808" customFormat="1" ht="14.25" thickBot="1" x14ac:dyDescent="0.25">
      <c r="A255" s="833" t="s">
        <v>505</v>
      </c>
      <c r="B255" s="834"/>
      <c r="C255" s="834" t="s">
        <v>46</v>
      </c>
      <c r="D255" s="834"/>
      <c r="E255" s="834"/>
      <c r="F255" s="834"/>
      <c r="G255" s="835">
        <f>SUM(G256)</f>
        <v>70096.708160000009</v>
      </c>
      <c r="H255" s="836">
        <f>SUM(H256)</f>
        <v>59563.876860000004</v>
      </c>
      <c r="I255" s="837">
        <f>SUM(I256)</f>
        <v>74575.554860000004</v>
      </c>
    </row>
    <row r="256" spans="1:9" s="890" customFormat="1" ht="14.25" thickBot="1" x14ac:dyDescent="0.25">
      <c r="A256" s="891" t="s">
        <v>45</v>
      </c>
      <c r="B256" s="969"/>
      <c r="C256" s="877" t="s">
        <v>46</v>
      </c>
      <c r="D256" s="877" t="s">
        <v>30</v>
      </c>
      <c r="E256" s="877"/>
      <c r="F256" s="877"/>
      <c r="G256" s="878">
        <f t="shared" ref="G256:H258" si="35">G257</f>
        <v>70096.708160000009</v>
      </c>
      <c r="H256" s="879">
        <f t="shared" si="35"/>
        <v>59563.876860000004</v>
      </c>
      <c r="I256" s="880">
        <f>I257</f>
        <v>74575.554860000004</v>
      </c>
    </row>
    <row r="257" spans="1:10" s="808" customFormat="1" ht="25.5" x14ac:dyDescent="0.2">
      <c r="A257" s="892" t="s">
        <v>398</v>
      </c>
      <c r="B257" s="970"/>
      <c r="C257" s="884" t="s">
        <v>46</v>
      </c>
      <c r="D257" s="884" t="s">
        <v>30</v>
      </c>
      <c r="E257" s="884" t="s">
        <v>41</v>
      </c>
      <c r="F257" s="884"/>
      <c r="G257" s="885">
        <f>G258+G273</f>
        <v>70096.708160000009</v>
      </c>
      <c r="H257" s="885">
        <f t="shared" ref="H257" si="36">H258+H273</f>
        <v>59563.876860000004</v>
      </c>
      <c r="I257" s="887">
        <f>I258+I273</f>
        <v>74575.554860000004</v>
      </c>
    </row>
    <row r="258" spans="1:10" s="890" customFormat="1" ht="13.5" x14ac:dyDescent="0.2">
      <c r="A258" s="844" t="s">
        <v>232</v>
      </c>
      <c r="B258" s="971"/>
      <c r="C258" s="845" t="s">
        <v>46</v>
      </c>
      <c r="D258" s="845" t="s">
        <v>30</v>
      </c>
      <c r="E258" s="845" t="s">
        <v>233</v>
      </c>
      <c r="F258" s="857"/>
      <c r="G258" s="846">
        <f t="shared" si="35"/>
        <v>70096.708160000009</v>
      </c>
      <c r="H258" s="847">
        <f t="shared" si="35"/>
        <v>59563.876860000004</v>
      </c>
      <c r="I258" s="848">
        <f>I259</f>
        <v>59334.954859999998</v>
      </c>
    </row>
    <row r="259" spans="1:10" s="808" customFormat="1" ht="12.75" x14ac:dyDescent="0.2">
      <c r="A259" s="849" t="s">
        <v>240</v>
      </c>
      <c r="B259" s="934"/>
      <c r="C259" s="851" t="s">
        <v>46</v>
      </c>
      <c r="D259" s="851" t="s">
        <v>30</v>
      </c>
      <c r="E259" s="851" t="s">
        <v>241</v>
      </c>
      <c r="F259" s="851"/>
      <c r="G259" s="852">
        <f>G260+G270+G267</f>
        <v>70096.708160000009</v>
      </c>
      <c r="H259" s="853">
        <f>H260+H270+H267</f>
        <v>59563.876860000004</v>
      </c>
      <c r="I259" s="854">
        <f>I260+I270+I267</f>
        <v>59334.954859999998</v>
      </c>
    </row>
    <row r="260" spans="1:10" s="808" customFormat="1" ht="12.75" x14ac:dyDescent="0.2">
      <c r="A260" s="849" t="s">
        <v>335</v>
      </c>
      <c r="B260" s="934"/>
      <c r="C260" s="851" t="s">
        <v>46</v>
      </c>
      <c r="D260" s="851" t="s">
        <v>30</v>
      </c>
      <c r="E260" s="851" t="s">
        <v>242</v>
      </c>
      <c r="F260" s="851"/>
      <c r="G260" s="852">
        <f>G261+G263+G265</f>
        <v>51062.708160000009</v>
      </c>
      <c r="H260" s="853">
        <f>H261+H263+H265</f>
        <v>41544.876860000004</v>
      </c>
      <c r="I260" s="854">
        <f>I261+I263+I265</f>
        <v>41315.954859999998</v>
      </c>
    </row>
    <row r="261" spans="1:10" s="808" customFormat="1" ht="38.25" x14ac:dyDescent="0.2">
      <c r="A261" s="855" t="s">
        <v>409</v>
      </c>
      <c r="B261" s="934"/>
      <c r="C261" s="851" t="s">
        <v>46</v>
      </c>
      <c r="D261" s="851" t="s">
        <v>30</v>
      </c>
      <c r="E261" s="851" t="s">
        <v>242</v>
      </c>
      <c r="F261" s="851" t="s">
        <v>72</v>
      </c>
      <c r="G261" s="852">
        <f>G262</f>
        <v>33933.431000000004</v>
      </c>
      <c r="H261" s="853">
        <f>H262</f>
        <v>31536.808000000001</v>
      </c>
      <c r="I261" s="854">
        <f>I262</f>
        <v>31536.808000000001</v>
      </c>
      <c r="J261" s="808" t="s">
        <v>336</v>
      </c>
    </row>
    <row r="262" spans="1:10" s="808" customFormat="1" ht="12.75" x14ac:dyDescent="0.2">
      <c r="A262" s="855" t="s">
        <v>133</v>
      </c>
      <c r="B262" s="934"/>
      <c r="C262" s="851" t="s">
        <v>46</v>
      </c>
      <c r="D262" s="851" t="s">
        <v>30</v>
      </c>
      <c r="E262" s="851" t="s">
        <v>242</v>
      </c>
      <c r="F262" s="851" t="s">
        <v>134</v>
      </c>
      <c r="G262" s="852">
        <f>31552.008+2381.423</f>
        <v>33933.431000000004</v>
      </c>
      <c r="H262" s="853">
        <f>24109.491+146.25+7281.067</f>
        <v>31536.808000000001</v>
      </c>
      <c r="I262" s="854">
        <f>H262</f>
        <v>31536.808000000001</v>
      </c>
    </row>
    <row r="263" spans="1:10" s="808" customFormat="1" ht="12.75" x14ac:dyDescent="0.2">
      <c r="A263" s="855" t="s">
        <v>31</v>
      </c>
      <c r="B263" s="934"/>
      <c r="C263" s="851" t="s">
        <v>46</v>
      </c>
      <c r="D263" s="851" t="s">
        <v>30</v>
      </c>
      <c r="E263" s="851" t="s">
        <v>242</v>
      </c>
      <c r="F263" s="851" t="s">
        <v>66</v>
      </c>
      <c r="G263" s="852">
        <f>G264</f>
        <v>17075.277160000001</v>
      </c>
      <c r="H263" s="853">
        <f>H264</f>
        <v>9964.0688600000012</v>
      </c>
      <c r="I263" s="854">
        <f>I264</f>
        <v>9735.1468599999989</v>
      </c>
    </row>
    <row r="264" spans="1:10" s="808" customFormat="1" ht="12.75" x14ac:dyDescent="0.2">
      <c r="A264" s="855" t="s">
        <v>67</v>
      </c>
      <c r="B264" s="934"/>
      <c r="C264" s="851" t="s">
        <v>46</v>
      </c>
      <c r="D264" s="851" t="s">
        <v>30</v>
      </c>
      <c r="E264" s="851" t="s">
        <v>242</v>
      </c>
      <c r="F264" s="851" t="s">
        <v>68</v>
      </c>
      <c r="G264" s="852">
        <f>23074.77716-5999.5</f>
        <v>17075.277160000001</v>
      </c>
      <c r="H264" s="853">
        <f>120.4+60.15+379.998+38.5+10.7+85.815+1004.73246+1797.072+904.2+80+80+451.8014+54+2920.968+1954.728+90+120.994-189.99</f>
        <v>9964.0688600000012</v>
      </c>
      <c r="I264" s="854">
        <f>24975.74686-15240.6</f>
        <v>9735.1468599999989</v>
      </c>
    </row>
    <row r="265" spans="1:10" s="808" customFormat="1" ht="12.75" x14ac:dyDescent="0.2">
      <c r="A265" s="855" t="s">
        <v>33</v>
      </c>
      <c r="B265" s="934"/>
      <c r="C265" s="851" t="s">
        <v>46</v>
      </c>
      <c r="D265" s="851" t="s">
        <v>30</v>
      </c>
      <c r="E265" s="851" t="s">
        <v>242</v>
      </c>
      <c r="F265" s="851" t="s">
        <v>75</v>
      </c>
      <c r="G265" s="852">
        <f>G266</f>
        <v>54</v>
      </c>
      <c r="H265" s="853">
        <f>H266</f>
        <v>44</v>
      </c>
      <c r="I265" s="854">
        <f>I266</f>
        <v>44</v>
      </c>
    </row>
    <row r="266" spans="1:10" s="808" customFormat="1" ht="12.75" x14ac:dyDescent="0.2">
      <c r="A266" s="855" t="s">
        <v>76</v>
      </c>
      <c r="B266" s="934"/>
      <c r="C266" s="851" t="s">
        <v>46</v>
      </c>
      <c r="D266" s="851" t="s">
        <v>30</v>
      </c>
      <c r="E266" s="851" t="s">
        <v>242</v>
      </c>
      <c r="F266" s="851" t="s">
        <v>77</v>
      </c>
      <c r="G266" s="852">
        <f>40+10+4</f>
        <v>54</v>
      </c>
      <c r="H266" s="853">
        <f>30+10+4</f>
        <v>44</v>
      </c>
      <c r="I266" s="854">
        <f>H266</f>
        <v>44</v>
      </c>
    </row>
    <row r="267" spans="1:10" s="808" customFormat="1" ht="12.75" x14ac:dyDescent="0.2">
      <c r="A267" s="849" t="s">
        <v>47</v>
      </c>
      <c r="B267" s="934"/>
      <c r="C267" s="851" t="s">
        <v>46</v>
      </c>
      <c r="D267" s="851" t="s">
        <v>30</v>
      </c>
      <c r="E267" s="851" t="s">
        <v>244</v>
      </c>
      <c r="F267" s="851"/>
      <c r="G267" s="852">
        <f>SUM(G269)</f>
        <v>6088.2000000000007</v>
      </c>
      <c r="H267" s="853">
        <f>SUM(H269)</f>
        <v>5073.2000000000007</v>
      </c>
      <c r="I267" s="854">
        <f>SUM(I269)</f>
        <v>5073.2000000000007</v>
      </c>
    </row>
    <row r="268" spans="1:10" s="808" customFormat="1" ht="12.75" x14ac:dyDescent="0.2">
      <c r="A268" s="855" t="s">
        <v>31</v>
      </c>
      <c r="B268" s="934"/>
      <c r="C268" s="851" t="s">
        <v>46</v>
      </c>
      <c r="D268" s="851" t="s">
        <v>30</v>
      </c>
      <c r="E268" s="851" t="s">
        <v>244</v>
      </c>
      <c r="F268" s="851" t="s">
        <v>66</v>
      </c>
      <c r="G268" s="852">
        <f>G269</f>
        <v>6088.2000000000007</v>
      </c>
      <c r="H268" s="853">
        <f>H269</f>
        <v>5073.2000000000007</v>
      </c>
      <c r="I268" s="854">
        <f>I269</f>
        <v>5073.2000000000007</v>
      </c>
    </row>
    <row r="269" spans="1:10" s="808" customFormat="1" ht="12.75" x14ac:dyDescent="0.2">
      <c r="A269" s="855" t="s">
        <v>67</v>
      </c>
      <c r="B269" s="934"/>
      <c r="C269" s="851" t="s">
        <v>46</v>
      </c>
      <c r="D269" s="851" t="s">
        <v>30</v>
      </c>
      <c r="E269" s="851" t="s">
        <v>244</v>
      </c>
      <c r="F269" s="851" t="s">
        <v>68</v>
      </c>
      <c r="G269" s="852">
        <f>340+4883.6+309.8+554.8</f>
        <v>6088.2000000000007</v>
      </c>
      <c r="H269" s="853">
        <f>340+3868.6+309.8+554.8</f>
        <v>5073.2000000000007</v>
      </c>
      <c r="I269" s="854">
        <f>H269</f>
        <v>5073.2000000000007</v>
      </c>
    </row>
    <row r="270" spans="1:10" s="808" customFormat="1" ht="38.25" x14ac:dyDescent="0.2">
      <c r="A270" s="849" t="s">
        <v>427</v>
      </c>
      <c r="B270" s="934"/>
      <c r="C270" s="851" t="s">
        <v>46</v>
      </c>
      <c r="D270" s="851" t="s">
        <v>30</v>
      </c>
      <c r="E270" s="851" t="s">
        <v>243</v>
      </c>
      <c r="F270" s="851"/>
      <c r="G270" s="852">
        <f t="shared" ref="G270:I271" si="37">G271</f>
        <v>12945.800000000001</v>
      </c>
      <c r="H270" s="853">
        <f t="shared" si="37"/>
        <v>12945.800000000001</v>
      </c>
      <c r="I270" s="854">
        <f t="shared" si="37"/>
        <v>12945.800000000001</v>
      </c>
    </row>
    <row r="271" spans="1:10" s="808" customFormat="1" ht="38.25" x14ac:dyDescent="0.2">
      <c r="A271" s="855" t="s">
        <v>409</v>
      </c>
      <c r="B271" s="934"/>
      <c r="C271" s="851" t="s">
        <v>46</v>
      </c>
      <c r="D271" s="851" t="s">
        <v>30</v>
      </c>
      <c r="E271" s="851" t="s">
        <v>243</v>
      </c>
      <c r="F271" s="851" t="s">
        <v>72</v>
      </c>
      <c r="G271" s="852">
        <f t="shared" si="37"/>
        <v>12945.800000000001</v>
      </c>
      <c r="H271" s="853">
        <f t="shared" si="37"/>
        <v>12945.800000000001</v>
      </c>
      <c r="I271" s="854">
        <f t="shared" si="37"/>
        <v>12945.800000000001</v>
      </c>
    </row>
    <row r="272" spans="1:10" s="808" customFormat="1" ht="12.75" x14ac:dyDescent="0.2">
      <c r="A272" s="855" t="s">
        <v>133</v>
      </c>
      <c r="B272" s="934"/>
      <c r="C272" s="851" t="s">
        <v>46</v>
      </c>
      <c r="D272" s="851" t="s">
        <v>30</v>
      </c>
      <c r="E272" s="851" t="s">
        <v>243</v>
      </c>
      <c r="F272" s="851" t="s">
        <v>134</v>
      </c>
      <c r="G272" s="852">
        <f>9943.011+3002.789</f>
        <v>12945.800000000001</v>
      </c>
      <c r="H272" s="853">
        <f>G272</f>
        <v>12945.800000000001</v>
      </c>
      <c r="I272" s="854">
        <f>H272</f>
        <v>12945.800000000001</v>
      </c>
    </row>
    <row r="273" spans="1:9" s="890" customFormat="1" ht="12.75" x14ac:dyDescent="0.2">
      <c r="A273" s="844" t="s">
        <v>532</v>
      </c>
      <c r="B273" s="845"/>
      <c r="C273" s="845" t="s">
        <v>46</v>
      </c>
      <c r="D273" s="845" t="s">
        <v>30</v>
      </c>
      <c r="E273" s="845" t="s">
        <v>529</v>
      </c>
      <c r="F273" s="845"/>
      <c r="G273" s="846">
        <f>G274</f>
        <v>0</v>
      </c>
      <c r="H273" s="847">
        <f t="shared" ref="H273" si="38">H274</f>
        <v>0</v>
      </c>
      <c r="I273" s="848">
        <f>I274</f>
        <v>15240.6</v>
      </c>
    </row>
    <row r="274" spans="1:9" s="808" customFormat="1" ht="12.75" customHeight="1" x14ac:dyDescent="0.2">
      <c r="A274" s="849" t="s">
        <v>533</v>
      </c>
      <c r="B274" s="851"/>
      <c r="C274" s="851" t="s">
        <v>46</v>
      </c>
      <c r="D274" s="851" t="s">
        <v>30</v>
      </c>
      <c r="E274" s="851" t="s">
        <v>530</v>
      </c>
      <c r="F274" s="851"/>
      <c r="G274" s="852">
        <f>SUM(G275)</f>
        <v>0</v>
      </c>
      <c r="H274" s="853">
        <f>SUM(H275)</f>
        <v>0</v>
      </c>
      <c r="I274" s="854">
        <f>SUM(I275)</f>
        <v>15240.6</v>
      </c>
    </row>
    <row r="275" spans="1:9" s="808" customFormat="1" ht="25.5" x14ac:dyDescent="0.2">
      <c r="A275" s="849" t="s">
        <v>534</v>
      </c>
      <c r="B275" s="851"/>
      <c r="C275" s="851" t="s">
        <v>46</v>
      </c>
      <c r="D275" s="851" t="s">
        <v>30</v>
      </c>
      <c r="E275" s="851" t="s">
        <v>531</v>
      </c>
      <c r="F275" s="851"/>
      <c r="G275" s="852">
        <f>G277</f>
        <v>0</v>
      </c>
      <c r="H275" s="853">
        <f>H277</f>
        <v>0</v>
      </c>
      <c r="I275" s="854">
        <f>I276</f>
        <v>15240.6</v>
      </c>
    </row>
    <row r="276" spans="1:9" s="808" customFormat="1" ht="12.75" x14ac:dyDescent="0.2">
      <c r="A276" s="855" t="s">
        <v>31</v>
      </c>
      <c r="B276" s="851"/>
      <c r="C276" s="851" t="s">
        <v>46</v>
      </c>
      <c r="D276" s="851" t="s">
        <v>30</v>
      </c>
      <c r="E276" s="851" t="s">
        <v>531</v>
      </c>
      <c r="F276" s="851" t="s">
        <v>66</v>
      </c>
      <c r="G276" s="852">
        <f>G277</f>
        <v>0</v>
      </c>
      <c r="H276" s="853">
        <f>H277</f>
        <v>0</v>
      </c>
      <c r="I276" s="854">
        <f>I277</f>
        <v>15240.6</v>
      </c>
    </row>
    <row r="277" spans="1:9" s="808" customFormat="1" ht="13.5" thickBot="1" x14ac:dyDescent="0.25">
      <c r="A277" s="858" t="s">
        <v>67</v>
      </c>
      <c r="B277" s="811"/>
      <c r="C277" s="811" t="s">
        <v>46</v>
      </c>
      <c r="D277" s="811" t="s">
        <v>30</v>
      </c>
      <c r="E277" s="811" t="s">
        <v>531</v>
      </c>
      <c r="F277" s="811" t="s">
        <v>68</v>
      </c>
      <c r="G277" s="859">
        <v>0</v>
      </c>
      <c r="H277" s="860">
        <v>0</v>
      </c>
      <c r="I277" s="861">
        <v>15240.6</v>
      </c>
    </row>
    <row r="278" spans="1:9" s="808" customFormat="1" ht="14.25" thickBot="1" x14ac:dyDescent="0.25">
      <c r="A278" s="833" t="s">
        <v>218</v>
      </c>
      <c r="B278" s="834"/>
      <c r="C278" s="834" t="s">
        <v>118</v>
      </c>
      <c r="D278" s="834"/>
      <c r="E278" s="834"/>
      <c r="F278" s="834"/>
      <c r="G278" s="835">
        <f>G279+G286</f>
        <v>4922.7960000000003</v>
      </c>
      <c r="H278" s="836">
        <f>H279+H286</f>
        <v>3587.6930000000002</v>
      </c>
      <c r="I278" s="837">
        <f>I279+I286</f>
        <v>2256.7440000000001</v>
      </c>
    </row>
    <row r="279" spans="1:9" s="808" customFormat="1" ht="14.25" thickBot="1" x14ac:dyDescent="0.25">
      <c r="A279" s="891" t="s">
        <v>117</v>
      </c>
      <c r="B279" s="877"/>
      <c r="C279" s="877" t="s">
        <v>118</v>
      </c>
      <c r="D279" s="877" t="s">
        <v>30</v>
      </c>
      <c r="E279" s="877"/>
      <c r="F279" s="877"/>
      <c r="G279" s="878">
        <f>G280</f>
        <v>2538.8760000000002</v>
      </c>
      <c r="H279" s="879">
        <f>H280</f>
        <v>2256.7440000000001</v>
      </c>
      <c r="I279" s="880">
        <f>I280</f>
        <v>2256.7440000000001</v>
      </c>
    </row>
    <row r="280" spans="1:9" s="808" customFormat="1" ht="25.5" x14ac:dyDescent="0.2">
      <c r="A280" s="892" t="s">
        <v>401</v>
      </c>
      <c r="B280" s="919"/>
      <c r="C280" s="884" t="s">
        <v>118</v>
      </c>
      <c r="D280" s="884" t="s">
        <v>30</v>
      </c>
      <c r="E280" s="884" t="s">
        <v>94</v>
      </c>
      <c r="F280" s="919"/>
      <c r="G280" s="885">
        <f>SUM(G281)</f>
        <v>2538.8760000000002</v>
      </c>
      <c r="H280" s="886">
        <f>SUM(H281)</f>
        <v>2256.7440000000001</v>
      </c>
      <c r="I280" s="887">
        <f>SUM(I281)</f>
        <v>2256.7440000000001</v>
      </c>
    </row>
    <row r="281" spans="1:9" s="808" customFormat="1" ht="13.5" x14ac:dyDescent="0.2">
      <c r="A281" s="902" t="s">
        <v>13</v>
      </c>
      <c r="B281" s="857"/>
      <c r="C281" s="845" t="s">
        <v>118</v>
      </c>
      <c r="D281" s="845" t="s">
        <v>30</v>
      </c>
      <c r="E281" s="845" t="s">
        <v>95</v>
      </c>
      <c r="F281" s="857"/>
      <c r="G281" s="846">
        <f t="shared" ref="G281:I282" si="39">G282</f>
        <v>2538.8760000000002</v>
      </c>
      <c r="H281" s="847">
        <f t="shared" si="39"/>
        <v>2256.7440000000001</v>
      </c>
      <c r="I281" s="848">
        <f t="shared" si="39"/>
        <v>2256.7440000000001</v>
      </c>
    </row>
    <row r="282" spans="1:9" s="808" customFormat="1" ht="13.5" x14ac:dyDescent="0.2">
      <c r="A282" s="932" t="s">
        <v>13</v>
      </c>
      <c r="B282" s="857"/>
      <c r="C282" s="851" t="s">
        <v>118</v>
      </c>
      <c r="D282" s="851" t="s">
        <v>30</v>
      </c>
      <c r="E282" s="851" t="s">
        <v>96</v>
      </c>
      <c r="F282" s="857"/>
      <c r="G282" s="852">
        <f t="shared" si="39"/>
        <v>2538.8760000000002</v>
      </c>
      <c r="H282" s="853">
        <f t="shared" si="39"/>
        <v>2256.7440000000001</v>
      </c>
      <c r="I282" s="854">
        <f t="shared" si="39"/>
        <v>2256.7440000000001</v>
      </c>
    </row>
    <row r="283" spans="1:9" s="808" customFormat="1" ht="12.75" x14ac:dyDescent="0.2">
      <c r="A283" s="849" t="s">
        <v>113</v>
      </c>
      <c r="B283" s="851"/>
      <c r="C283" s="851" t="s">
        <v>118</v>
      </c>
      <c r="D283" s="851" t="s">
        <v>30</v>
      </c>
      <c r="E283" s="851" t="s">
        <v>114</v>
      </c>
      <c r="F283" s="851"/>
      <c r="G283" s="852">
        <f>G285</f>
        <v>2538.8760000000002</v>
      </c>
      <c r="H283" s="853">
        <f>H285</f>
        <v>2256.7440000000001</v>
      </c>
      <c r="I283" s="854">
        <f>I285</f>
        <v>2256.7440000000001</v>
      </c>
    </row>
    <row r="284" spans="1:9" s="808" customFormat="1" ht="12.75" x14ac:dyDescent="0.2">
      <c r="A284" s="972" t="s">
        <v>39</v>
      </c>
      <c r="B284" s="851"/>
      <c r="C284" s="851" t="s">
        <v>118</v>
      </c>
      <c r="D284" s="851" t="s">
        <v>30</v>
      </c>
      <c r="E284" s="851" t="s">
        <v>114</v>
      </c>
      <c r="F284" s="851" t="s">
        <v>115</v>
      </c>
      <c r="G284" s="852">
        <f>G285</f>
        <v>2538.8760000000002</v>
      </c>
      <c r="H284" s="853">
        <f>H285</f>
        <v>2256.7440000000001</v>
      </c>
      <c r="I284" s="854">
        <f>I285</f>
        <v>2256.7440000000001</v>
      </c>
    </row>
    <row r="285" spans="1:9" s="808" customFormat="1" ht="13.5" thickBot="1" x14ac:dyDescent="0.25">
      <c r="A285" s="973" t="s">
        <v>135</v>
      </c>
      <c r="B285" s="811"/>
      <c r="C285" s="811" t="s">
        <v>118</v>
      </c>
      <c r="D285" s="811" t="s">
        <v>30</v>
      </c>
      <c r="E285" s="811" t="s">
        <v>114</v>
      </c>
      <c r="F285" s="811" t="s">
        <v>116</v>
      </c>
      <c r="G285" s="859">
        <f>2256.744+282.132</f>
        <v>2538.8760000000002</v>
      </c>
      <c r="H285" s="860">
        <v>2256.7440000000001</v>
      </c>
      <c r="I285" s="861">
        <f>H285</f>
        <v>2256.7440000000001</v>
      </c>
    </row>
    <row r="286" spans="1:9" s="808" customFormat="1" ht="14.25" thickBot="1" x14ac:dyDescent="0.25">
      <c r="A286" s="833" t="s">
        <v>214</v>
      </c>
      <c r="B286" s="834"/>
      <c r="C286" s="834" t="s">
        <v>118</v>
      </c>
      <c r="D286" s="834" t="s">
        <v>36</v>
      </c>
      <c r="E286" s="834"/>
      <c r="F286" s="834"/>
      <c r="G286" s="835">
        <f t="shared" ref="G286:I291" si="40">G287</f>
        <v>2383.92</v>
      </c>
      <c r="H286" s="836">
        <f t="shared" si="40"/>
        <v>1330.9490000000001</v>
      </c>
      <c r="I286" s="837">
        <f t="shared" si="40"/>
        <v>0</v>
      </c>
    </row>
    <row r="287" spans="1:9" s="808" customFormat="1" ht="38.25" x14ac:dyDescent="0.2">
      <c r="A287" s="974" t="s">
        <v>399</v>
      </c>
      <c r="B287" s="919"/>
      <c r="C287" s="884" t="s">
        <v>118</v>
      </c>
      <c r="D287" s="884" t="s">
        <v>36</v>
      </c>
      <c r="E287" s="884" t="s">
        <v>38</v>
      </c>
      <c r="F287" s="919"/>
      <c r="G287" s="885">
        <f t="shared" si="40"/>
        <v>2383.92</v>
      </c>
      <c r="H287" s="886">
        <f t="shared" si="40"/>
        <v>1330.9490000000001</v>
      </c>
      <c r="I287" s="887">
        <f t="shared" si="40"/>
        <v>0</v>
      </c>
    </row>
    <row r="288" spans="1:9" s="890" customFormat="1" ht="13.5" x14ac:dyDescent="0.2">
      <c r="A288" s="844" t="s">
        <v>410</v>
      </c>
      <c r="B288" s="857"/>
      <c r="C288" s="845" t="s">
        <v>118</v>
      </c>
      <c r="D288" s="845" t="s">
        <v>36</v>
      </c>
      <c r="E288" s="845" t="s">
        <v>338</v>
      </c>
      <c r="F288" s="845"/>
      <c r="G288" s="846">
        <f t="shared" si="40"/>
        <v>2383.92</v>
      </c>
      <c r="H288" s="847">
        <f t="shared" si="40"/>
        <v>1330.9490000000001</v>
      </c>
      <c r="I288" s="848">
        <f t="shared" si="40"/>
        <v>0</v>
      </c>
    </row>
    <row r="289" spans="1:9" s="808" customFormat="1" ht="24.75" customHeight="1" x14ac:dyDescent="0.2">
      <c r="A289" s="849" t="s">
        <v>339</v>
      </c>
      <c r="B289" s="851"/>
      <c r="C289" s="851" t="s">
        <v>118</v>
      </c>
      <c r="D289" s="851" t="s">
        <v>36</v>
      </c>
      <c r="E289" s="851" t="s">
        <v>342</v>
      </c>
      <c r="F289" s="851"/>
      <c r="G289" s="852">
        <f t="shared" si="40"/>
        <v>2383.92</v>
      </c>
      <c r="H289" s="853">
        <f t="shared" si="40"/>
        <v>1330.9490000000001</v>
      </c>
      <c r="I289" s="854">
        <f t="shared" si="40"/>
        <v>0</v>
      </c>
    </row>
    <row r="290" spans="1:9" s="808" customFormat="1" ht="12.75" x14ac:dyDescent="0.2">
      <c r="A290" s="849" t="s">
        <v>340</v>
      </c>
      <c r="B290" s="851"/>
      <c r="C290" s="851" t="s">
        <v>118</v>
      </c>
      <c r="D290" s="851" t="s">
        <v>36</v>
      </c>
      <c r="E290" s="851" t="s">
        <v>341</v>
      </c>
      <c r="F290" s="851"/>
      <c r="G290" s="852">
        <f t="shared" si="40"/>
        <v>2383.92</v>
      </c>
      <c r="H290" s="853">
        <f t="shared" si="40"/>
        <v>1330.9490000000001</v>
      </c>
      <c r="I290" s="854">
        <f t="shared" si="40"/>
        <v>0</v>
      </c>
    </row>
    <row r="291" spans="1:9" s="808" customFormat="1" ht="12.75" x14ac:dyDescent="0.2">
      <c r="A291" s="972" t="s">
        <v>39</v>
      </c>
      <c r="B291" s="851"/>
      <c r="C291" s="851" t="s">
        <v>118</v>
      </c>
      <c r="D291" s="851" t="s">
        <v>36</v>
      </c>
      <c r="E291" s="851" t="s">
        <v>341</v>
      </c>
      <c r="F291" s="851" t="s">
        <v>115</v>
      </c>
      <c r="G291" s="852">
        <f t="shared" si="40"/>
        <v>2383.92</v>
      </c>
      <c r="H291" s="853">
        <f t="shared" si="40"/>
        <v>1330.9490000000001</v>
      </c>
      <c r="I291" s="854">
        <f t="shared" si="40"/>
        <v>0</v>
      </c>
    </row>
    <row r="292" spans="1:9" s="808" customFormat="1" ht="13.5" thickBot="1" x14ac:dyDescent="0.25">
      <c r="A292" s="972" t="s">
        <v>135</v>
      </c>
      <c r="B292" s="851"/>
      <c r="C292" s="851" t="s">
        <v>118</v>
      </c>
      <c r="D292" s="851" t="s">
        <v>36</v>
      </c>
      <c r="E292" s="851" t="s">
        <v>341</v>
      </c>
      <c r="F292" s="851" t="s">
        <v>116</v>
      </c>
      <c r="G292" s="852">
        <f>339.4+2044.52</f>
        <v>2383.92</v>
      </c>
      <c r="H292" s="853">
        <v>1330.9490000000001</v>
      </c>
      <c r="I292" s="854">
        <v>0</v>
      </c>
    </row>
    <row r="293" spans="1:9" s="808" customFormat="1" ht="14.25" thickBot="1" x14ac:dyDescent="0.25">
      <c r="A293" s="833" t="s">
        <v>136</v>
      </c>
      <c r="B293" s="834"/>
      <c r="C293" s="834" t="s">
        <v>29</v>
      </c>
      <c r="D293" s="834"/>
      <c r="E293" s="834"/>
      <c r="F293" s="834"/>
      <c r="G293" s="835">
        <f>G294+G308</f>
        <v>106501.72</v>
      </c>
      <c r="H293" s="835">
        <f t="shared" ref="H293:I293" si="41">H294+H308</f>
        <v>74019.06</v>
      </c>
      <c r="I293" s="837">
        <f t="shared" si="41"/>
        <v>74019.06</v>
      </c>
    </row>
    <row r="294" spans="1:9" s="890" customFormat="1" ht="14.25" thickBot="1" x14ac:dyDescent="0.25">
      <c r="A294" s="891" t="s">
        <v>28</v>
      </c>
      <c r="B294" s="969"/>
      <c r="C294" s="877" t="s">
        <v>29</v>
      </c>
      <c r="D294" s="877" t="s">
        <v>30</v>
      </c>
      <c r="E294" s="877"/>
      <c r="F294" s="877"/>
      <c r="G294" s="878">
        <f t="shared" ref="G294:I295" si="42">G295</f>
        <v>74019.06</v>
      </c>
      <c r="H294" s="879">
        <f t="shared" si="42"/>
        <v>74019.06</v>
      </c>
      <c r="I294" s="880">
        <f t="shared" si="42"/>
        <v>74019.06</v>
      </c>
    </row>
    <row r="295" spans="1:9" s="808" customFormat="1" ht="40.5" customHeight="1" x14ac:dyDescent="0.2">
      <c r="A295" s="892" t="s">
        <v>370</v>
      </c>
      <c r="B295" s="970"/>
      <c r="C295" s="884" t="s">
        <v>29</v>
      </c>
      <c r="D295" s="884" t="s">
        <v>30</v>
      </c>
      <c r="E295" s="884" t="s">
        <v>25</v>
      </c>
      <c r="F295" s="884"/>
      <c r="G295" s="885">
        <f t="shared" si="42"/>
        <v>74019.06</v>
      </c>
      <c r="H295" s="886">
        <f t="shared" si="42"/>
        <v>74019.06</v>
      </c>
      <c r="I295" s="887">
        <f t="shared" si="42"/>
        <v>74019.06</v>
      </c>
    </row>
    <row r="296" spans="1:9" s="808" customFormat="1" ht="12.75" x14ac:dyDescent="0.2">
      <c r="A296" s="844" t="s">
        <v>232</v>
      </c>
      <c r="B296" s="971"/>
      <c r="C296" s="845" t="s">
        <v>29</v>
      </c>
      <c r="D296" s="845" t="s">
        <v>30</v>
      </c>
      <c r="E296" s="845" t="s">
        <v>279</v>
      </c>
      <c r="F296" s="845"/>
      <c r="G296" s="846">
        <f>SUM(G297)</f>
        <v>74019.06</v>
      </c>
      <c r="H296" s="847">
        <f>SUM(H297)</f>
        <v>74019.06</v>
      </c>
      <c r="I296" s="848">
        <f>SUM(I297)</f>
        <v>74019.06</v>
      </c>
    </row>
    <row r="297" spans="1:9" s="808" customFormat="1" ht="12.75" x14ac:dyDescent="0.2">
      <c r="A297" s="849" t="s">
        <v>280</v>
      </c>
      <c r="B297" s="971"/>
      <c r="C297" s="851" t="s">
        <v>29</v>
      </c>
      <c r="D297" s="851" t="s">
        <v>30</v>
      </c>
      <c r="E297" s="851" t="s">
        <v>281</v>
      </c>
      <c r="F297" s="845"/>
      <c r="G297" s="852">
        <f>G298+G305</f>
        <v>74019.06</v>
      </c>
      <c r="H297" s="853">
        <f>H298+H305</f>
        <v>74019.06</v>
      </c>
      <c r="I297" s="854">
        <f>I298+I305</f>
        <v>74019.06</v>
      </c>
    </row>
    <row r="298" spans="1:9" s="808" customFormat="1" ht="12.75" x14ac:dyDescent="0.2">
      <c r="A298" s="849" t="s">
        <v>26</v>
      </c>
      <c r="B298" s="934"/>
      <c r="C298" s="851" t="s">
        <v>29</v>
      </c>
      <c r="D298" s="851" t="s">
        <v>30</v>
      </c>
      <c r="E298" s="851" t="s">
        <v>282</v>
      </c>
      <c r="F298" s="851"/>
      <c r="G298" s="852">
        <f>G299+G301+G303</f>
        <v>73269.06</v>
      </c>
      <c r="H298" s="853">
        <f>H299+H301+H303</f>
        <v>73269.06</v>
      </c>
      <c r="I298" s="854">
        <f>I299+I301+I303</f>
        <v>73269.06</v>
      </c>
    </row>
    <row r="299" spans="1:9" s="808" customFormat="1" ht="38.25" x14ac:dyDescent="0.2">
      <c r="A299" s="855" t="s">
        <v>409</v>
      </c>
      <c r="B299" s="934"/>
      <c r="C299" s="851" t="s">
        <v>29</v>
      </c>
      <c r="D299" s="851" t="s">
        <v>30</v>
      </c>
      <c r="E299" s="851" t="s">
        <v>282</v>
      </c>
      <c r="F299" s="851" t="s">
        <v>72</v>
      </c>
      <c r="G299" s="975">
        <f>G300</f>
        <v>33997.06</v>
      </c>
      <c r="H299" s="976">
        <f>H300</f>
        <v>33997.06</v>
      </c>
      <c r="I299" s="977">
        <f>I300</f>
        <v>33997.06</v>
      </c>
    </row>
    <row r="300" spans="1:9" s="808" customFormat="1" ht="12.75" x14ac:dyDescent="0.2">
      <c r="A300" s="855" t="s">
        <v>133</v>
      </c>
      <c r="B300" s="934"/>
      <c r="C300" s="851" t="s">
        <v>29</v>
      </c>
      <c r="D300" s="851" t="s">
        <v>30</v>
      </c>
      <c r="E300" s="851" t="s">
        <v>282</v>
      </c>
      <c r="F300" s="851" t="s">
        <v>134</v>
      </c>
      <c r="G300" s="975">
        <f>25270+80+7631.5+780+235.56</f>
        <v>33997.06</v>
      </c>
      <c r="H300" s="976">
        <f>G300</f>
        <v>33997.06</v>
      </c>
      <c r="I300" s="977">
        <f>H300</f>
        <v>33997.06</v>
      </c>
    </row>
    <row r="301" spans="1:9" s="808" customFormat="1" ht="12.75" x14ac:dyDescent="0.2">
      <c r="A301" s="855" t="s">
        <v>31</v>
      </c>
      <c r="B301" s="934"/>
      <c r="C301" s="851" t="s">
        <v>29</v>
      </c>
      <c r="D301" s="851" t="s">
        <v>30</v>
      </c>
      <c r="E301" s="851" t="s">
        <v>282</v>
      </c>
      <c r="F301" s="851" t="s">
        <v>66</v>
      </c>
      <c r="G301" s="975">
        <f>G302</f>
        <v>39247</v>
      </c>
      <c r="H301" s="976">
        <f>H302</f>
        <v>39247</v>
      </c>
      <c r="I301" s="977">
        <f>I302</f>
        <v>39247</v>
      </c>
    </row>
    <row r="302" spans="1:9" s="808" customFormat="1" ht="12.75" x14ac:dyDescent="0.2">
      <c r="A302" s="855" t="s">
        <v>67</v>
      </c>
      <c r="B302" s="934"/>
      <c r="C302" s="851" t="s">
        <v>29</v>
      </c>
      <c r="D302" s="851" t="s">
        <v>30</v>
      </c>
      <c r="E302" s="851" t="s">
        <v>282</v>
      </c>
      <c r="F302" s="851" t="s">
        <v>68</v>
      </c>
      <c r="G302" s="975">
        <f>103.2+150+2620+29132+2429.9+2585.5+447+179.4+1700-100</f>
        <v>39247</v>
      </c>
      <c r="H302" s="976">
        <f>G302</f>
        <v>39247</v>
      </c>
      <c r="I302" s="977">
        <f>H302</f>
        <v>39247</v>
      </c>
    </row>
    <row r="303" spans="1:9" s="808" customFormat="1" ht="12.75" x14ac:dyDescent="0.2">
      <c r="A303" s="855" t="s">
        <v>33</v>
      </c>
      <c r="B303" s="934"/>
      <c r="C303" s="851" t="s">
        <v>29</v>
      </c>
      <c r="D303" s="851" t="s">
        <v>30</v>
      </c>
      <c r="E303" s="851" t="s">
        <v>282</v>
      </c>
      <c r="F303" s="851" t="s">
        <v>137</v>
      </c>
      <c r="G303" s="975">
        <f>G304</f>
        <v>25</v>
      </c>
      <c r="H303" s="976">
        <f>H304</f>
        <v>25</v>
      </c>
      <c r="I303" s="977">
        <f>I304</f>
        <v>25</v>
      </c>
    </row>
    <row r="304" spans="1:9" s="808" customFormat="1" ht="12.75" x14ac:dyDescent="0.2">
      <c r="A304" s="855" t="s">
        <v>76</v>
      </c>
      <c r="B304" s="934"/>
      <c r="C304" s="851" t="s">
        <v>29</v>
      </c>
      <c r="D304" s="851" t="s">
        <v>30</v>
      </c>
      <c r="E304" s="851" t="s">
        <v>282</v>
      </c>
      <c r="F304" s="851" t="s">
        <v>77</v>
      </c>
      <c r="G304" s="975">
        <f>25</f>
        <v>25</v>
      </c>
      <c r="H304" s="976">
        <f>G304</f>
        <v>25</v>
      </c>
      <c r="I304" s="977">
        <f>H304</f>
        <v>25</v>
      </c>
    </row>
    <row r="305" spans="1:9" s="808" customFormat="1" ht="12.75" x14ac:dyDescent="0.2">
      <c r="A305" s="849" t="s">
        <v>34</v>
      </c>
      <c r="B305" s="934"/>
      <c r="C305" s="851" t="s">
        <v>29</v>
      </c>
      <c r="D305" s="851" t="s">
        <v>30</v>
      </c>
      <c r="E305" s="851" t="s">
        <v>283</v>
      </c>
      <c r="F305" s="851"/>
      <c r="G305" s="975">
        <f t="shared" ref="G305:I306" si="43">G306</f>
        <v>750</v>
      </c>
      <c r="H305" s="976">
        <f t="shared" si="43"/>
        <v>750</v>
      </c>
      <c r="I305" s="977">
        <f t="shared" si="43"/>
        <v>750</v>
      </c>
    </row>
    <row r="306" spans="1:9" s="808" customFormat="1" ht="12.75" x14ac:dyDescent="0.2">
      <c r="A306" s="855" t="s">
        <v>31</v>
      </c>
      <c r="B306" s="934"/>
      <c r="C306" s="851" t="s">
        <v>29</v>
      </c>
      <c r="D306" s="851" t="s">
        <v>30</v>
      </c>
      <c r="E306" s="851" t="s">
        <v>283</v>
      </c>
      <c r="F306" s="851" t="s">
        <v>66</v>
      </c>
      <c r="G306" s="975">
        <f t="shared" si="43"/>
        <v>750</v>
      </c>
      <c r="H306" s="976">
        <f t="shared" si="43"/>
        <v>750</v>
      </c>
      <c r="I306" s="977">
        <f t="shared" si="43"/>
        <v>750</v>
      </c>
    </row>
    <row r="307" spans="1:9" s="808" customFormat="1" ht="12.75" x14ac:dyDescent="0.2">
      <c r="A307" s="855" t="s">
        <v>67</v>
      </c>
      <c r="B307" s="934"/>
      <c r="C307" s="851" t="s">
        <v>29</v>
      </c>
      <c r="D307" s="851" t="s">
        <v>30</v>
      </c>
      <c r="E307" s="851" t="s">
        <v>283</v>
      </c>
      <c r="F307" s="851" t="s">
        <v>68</v>
      </c>
      <c r="G307" s="975">
        <f>150+150+450</f>
        <v>750</v>
      </c>
      <c r="H307" s="976">
        <f>G307</f>
        <v>750</v>
      </c>
      <c r="I307" s="977">
        <f>H307</f>
        <v>750</v>
      </c>
    </row>
    <row r="308" spans="1:9" s="890" customFormat="1" ht="14.25" thickBot="1" x14ac:dyDescent="0.25">
      <c r="A308" s="891" t="s">
        <v>524</v>
      </c>
      <c r="B308" s="969"/>
      <c r="C308" s="877" t="s">
        <v>29</v>
      </c>
      <c r="D308" s="877" t="s">
        <v>58</v>
      </c>
      <c r="E308" s="877"/>
      <c r="F308" s="877"/>
      <c r="G308" s="878">
        <f t="shared" ref="G308:I309" si="44">G309</f>
        <v>32482.66</v>
      </c>
      <c r="H308" s="879">
        <f t="shared" si="44"/>
        <v>0</v>
      </c>
      <c r="I308" s="880">
        <f t="shared" si="44"/>
        <v>0</v>
      </c>
    </row>
    <row r="309" spans="1:9" s="808" customFormat="1" ht="40.5" customHeight="1" x14ac:dyDescent="0.2">
      <c r="A309" s="892" t="s">
        <v>370</v>
      </c>
      <c r="B309" s="970"/>
      <c r="C309" s="884" t="s">
        <v>29</v>
      </c>
      <c r="D309" s="884" t="s">
        <v>58</v>
      </c>
      <c r="E309" s="884" t="s">
        <v>25</v>
      </c>
      <c r="F309" s="884"/>
      <c r="G309" s="885">
        <f>G310</f>
        <v>32482.66</v>
      </c>
      <c r="H309" s="886">
        <f t="shared" si="44"/>
        <v>0</v>
      </c>
      <c r="I309" s="887">
        <f t="shared" si="44"/>
        <v>0</v>
      </c>
    </row>
    <row r="310" spans="1:9" s="808" customFormat="1" ht="12.75" x14ac:dyDescent="0.2">
      <c r="A310" s="844" t="s">
        <v>525</v>
      </c>
      <c r="B310" s="971"/>
      <c r="C310" s="845" t="s">
        <v>29</v>
      </c>
      <c r="D310" s="845" t="s">
        <v>58</v>
      </c>
      <c r="E310" s="845" t="s">
        <v>327</v>
      </c>
      <c r="F310" s="845"/>
      <c r="G310" s="846">
        <f>SUM(G311)</f>
        <v>32482.66</v>
      </c>
      <c r="H310" s="847">
        <f>SUM(H311)</f>
        <v>0</v>
      </c>
      <c r="I310" s="848">
        <f>SUM(I311)</f>
        <v>0</v>
      </c>
    </row>
    <row r="311" spans="1:9" s="808" customFormat="1" ht="12.75" x14ac:dyDescent="0.2">
      <c r="A311" s="849" t="s">
        <v>526</v>
      </c>
      <c r="B311" s="971"/>
      <c r="C311" s="851" t="s">
        <v>29</v>
      </c>
      <c r="D311" s="851" t="s">
        <v>58</v>
      </c>
      <c r="E311" s="851" t="s">
        <v>328</v>
      </c>
      <c r="F311" s="845"/>
      <c r="G311" s="852">
        <f>G315+G312</f>
        <v>32482.66</v>
      </c>
      <c r="H311" s="853">
        <f>H315</f>
        <v>0</v>
      </c>
      <c r="I311" s="854">
        <f>I315</f>
        <v>0</v>
      </c>
    </row>
    <row r="312" spans="1:9" s="808" customFormat="1" ht="25.5" x14ac:dyDescent="0.2">
      <c r="A312" s="849" t="s">
        <v>543</v>
      </c>
      <c r="B312" s="934"/>
      <c r="C312" s="851" t="s">
        <v>29</v>
      </c>
      <c r="D312" s="851" t="s">
        <v>58</v>
      </c>
      <c r="E312" s="851" t="s">
        <v>542</v>
      </c>
      <c r="F312" s="851"/>
      <c r="G312" s="852">
        <f t="shared" ref="G312:I313" si="45">G313</f>
        <v>463.89999</v>
      </c>
      <c r="H312" s="853">
        <f t="shared" si="45"/>
        <v>0</v>
      </c>
      <c r="I312" s="854">
        <f t="shared" si="45"/>
        <v>0</v>
      </c>
    </row>
    <row r="313" spans="1:9" s="808" customFormat="1" ht="12.75" x14ac:dyDescent="0.2">
      <c r="A313" s="855" t="s">
        <v>31</v>
      </c>
      <c r="B313" s="934"/>
      <c r="C313" s="851" t="s">
        <v>29</v>
      </c>
      <c r="D313" s="851" t="s">
        <v>58</v>
      </c>
      <c r="E313" s="851" t="s">
        <v>542</v>
      </c>
      <c r="F313" s="851" t="s">
        <v>66</v>
      </c>
      <c r="G313" s="975">
        <f t="shared" si="45"/>
        <v>463.89999</v>
      </c>
      <c r="H313" s="976">
        <f t="shared" si="45"/>
        <v>0</v>
      </c>
      <c r="I313" s="977">
        <f t="shared" si="45"/>
        <v>0</v>
      </c>
    </row>
    <row r="314" spans="1:9" s="808" customFormat="1" ht="12.75" x14ac:dyDescent="0.2">
      <c r="A314" s="855" t="s">
        <v>67</v>
      </c>
      <c r="B314" s="934"/>
      <c r="C314" s="851" t="s">
        <v>29</v>
      </c>
      <c r="D314" s="851" t="s">
        <v>58</v>
      </c>
      <c r="E314" s="851" t="s">
        <v>542</v>
      </c>
      <c r="F314" s="851" t="s">
        <v>68</v>
      </c>
      <c r="G314" s="975">
        <f>0+463.89999</f>
        <v>463.89999</v>
      </c>
      <c r="H314" s="976">
        <v>0</v>
      </c>
      <c r="I314" s="977">
        <f>H314</f>
        <v>0</v>
      </c>
    </row>
    <row r="315" spans="1:9" s="808" customFormat="1" ht="25.5" x14ac:dyDescent="0.2">
      <c r="A315" s="849" t="s">
        <v>527</v>
      </c>
      <c r="B315" s="934"/>
      <c r="C315" s="851" t="s">
        <v>29</v>
      </c>
      <c r="D315" s="851" t="s">
        <v>58</v>
      </c>
      <c r="E315" s="851" t="s">
        <v>528</v>
      </c>
      <c r="F315" s="851"/>
      <c r="G315" s="852">
        <f t="shared" ref="G315:I316" si="46">G316</f>
        <v>32018.760009999998</v>
      </c>
      <c r="H315" s="853">
        <f t="shared" si="46"/>
        <v>0</v>
      </c>
      <c r="I315" s="854">
        <f t="shared" si="46"/>
        <v>0</v>
      </c>
    </row>
    <row r="316" spans="1:9" s="808" customFormat="1" ht="12.75" x14ac:dyDescent="0.2">
      <c r="A316" s="855" t="s">
        <v>31</v>
      </c>
      <c r="B316" s="934"/>
      <c r="C316" s="851" t="s">
        <v>29</v>
      </c>
      <c r="D316" s="851" t="s">
        <v>58</v>
      </c>
      <c r="E316" s="851" t="s">
        <v>528</v>
      </c>
      <c r="F316" s="851" t="s">
        <v>66</v>
      </c>
      <c r="G316" s="975">
        <f t="shared" si="46"/>
        <v>32018.760009999998</v>
      </c>
      <c r="H316" s="976">
        <f t="shared" si="46"/>
        <v>0</v>
      </c>
      <c r="I316" s="977">
        <f t="shared" si="46"/>
        <v>0</v>
      </c>
    </row>
    <row r="317" spans="1:9" s="808" customFormat="1" ht="13.5" thickBot="1" x14ac:dyDescent="0.25">
      <c r="A317" s="855" t="s">
        <v>67</v>
      </c>
      <c r="B317" s="934"/>
      <c r="C317" s="851" t="s">
        <v>29</v>
      </c>
      <c r="D317" s="851" t="s">
        <v>58</v>
      </c>
      <c r="E317" s="851" t="s">
        <v>528</v>
      </c>
      <c r="F317" s="851" t="s">
        <v>68</v>
      </c>
      <c r="G317" s="975">
        <f>0+32482.66-463.89999</f>
        <v>32018.760009999998</v>
      </c>
      <c r="H317" s="976">
        <v>0</v>
      </c>
      <c r="I317" s="977">
        <f>H317</f>
        <v>0</v>
      </c>
    </row>
    <row r="318" spans="1:9" s="820" customFormat="1" ht="26.25" thickBot="1" x14ac:dyDescent="0.25">
      <c r="A318" s="814" t="s">
        <v>400</v>
      </c>
      <c r="B318" s="815" t="s">
        <v>142</v>
      </c>
      <c r="C318" s="816"/>
      <c r="D318" s="816"/>
      <c r="E318" s="816"/>
      <c r="F318" s="816"/>
      <c r="G318" s="817">
        <f>G319</f>
        <v>6997.23945</v>
      </c>
      <c r="H318" s="818">
        <f>H319</f>
        <v>6698.73945</v>
      </c>
      <c r="I318" s="819">
        <f>I319</f>
        <v>6698.73945</v>
      </c>
    </row>
    <row r="319" spans="1:9" s="820" customFormat="1" ht="14.25" thickBot="1" x14ac:dyDescent="0.25">
      <c r="A319" s="891" t="s">
        <v>120</v>
      </c>
      <c r="B319" s="877"/>
      <c r="C319" s="877" t="s">
        <v>30</v>
      </c>
      <c r="D319" s="875"/>
      <c r="E319" s="875"/>
      <c r="F319" s="875"/>
      <c r="G319" s="978">
        <f>G320+G327</f>
        <v>6997.23945</v>
      </c>
      <c r="H319" s="979">
        <f>H320+H327</f>
        <v>6698.73945</v>
      </c>
      <c r="I319" s="980">
        <f>I320+I327</f>
        <v>6698.73945</v>
      </c>
    </row>
    <row r="320" spans="1:9" s="838" customFormat="1" ht="27.75" thickBot="1" x14ac:dyDescent="0.3">
      <c r="A320" s="833" t="s">
        <v>148</v>
      </c>
      <c r="B320" s="834"/>
      <c r="C320" s="834" t="s">
        <v>30</v>
      </c>
      <c r="D320" s="834" t="s">
        <v>58</v>
      </c>
      <c r="E320" s="834"/>
      <c r="F320" s="834"/>
      <c r="G320" s="835">
        <f t="shared" ref="G320:I321" si="47">G321</f>
        <v>4549.741</v>
      </c>
      <c r="H320" s="836">
        <f t="shared" si="47"/>
        <v>4549.741</v>
      </c>
      <c r="I320" s="837">
        <f t="shared" si="47"/>
        <v>4549.741</v>
      </c>
    </row>
    <row r="321" spans="1:9" s="838" customFormat="1" ht="25.5" x14ac:dyDescent="0.25">
      <c r="A321" s="892" t="s">
        <v>10</v>
      </c>
      <c r="B321" s="884"/>
      <c r="C321" s="884" t="s">
        <v>30</v>
      </c>
      <c r="D321" s="884" t="s">
        <v>58</v>
      </c>
      <c r="E321" s="884" t="s">
        <v>11</v>
      </c>
      <c r="F321" s="884"/>
      <c r="G321" s="885">
        <f t="shared" si="47"/>
        <v>4549.741</v>
      </c>
      <c r="H321" s="886">
        <f t="shared" si="47"/>
        <v>4549.741</v>
      </c>
      <c r="I321" s="887">
        <f t="shared" si="47"/>
        <v>4549.741</v>
      </c>
    </row>
    <row r="322" spans="1:9" s="838" customFormat="1" ht="13.5" x14ac:dyDescent="0.25">
      <c r="A322" s="844" t="s">
        <v>149</v>
      </c>
      <c r="B322" s="845"/>
      <c r="C322" s="845" t="s">
        <v>30</v>
      </c>
      <c r="D322" s="845" t="s">
        <v>58</v>
      </c>
      <c r="E322" s="845" t="s">
        <v>139</v>
      </c>
      <c r="F322" s="845"/>
      <c r="G322" s="846">
        <f>SUM(G323)</f>
        <v>4549.741</v>
      </c>
      <c r="H322" s="847">
        <f>SUM(H323)</f>
        <v>4549.741</v>
      </c>
      <c r="I322" s="848">
        <f>SUM(I323)</f>
        <v>4549.741</v>
      </c>
    </row>
    <row r="323" spans="1:9" s="838" customFormat="1" ht="13.5" x14ac:dyDescent="0.25">
      <c r="A323" s="849" t="s">
        <v>13</v>
      </c>
      <c r="B323" s="850"/>
      <c r="C323" s="851" t="s">
        <v>30</v>
      </c>
      <c r="D323" s="851" t="s">
        <v>58</v>
      </c>
      <c r="E323" s="851" t="s">
        <v>140</v>
      </c>
      <c r="F323" s="850"/>
      <c r="G323" s="852">
        <f t="shared" ref="G323:I325" si="48">G324</f>
        <v>4549.741</v>
      </c>
      <c r="H323" s="853">
        <f t="shared" si="48"/>
        <v>4549.741</v>
      </c>
      <c r="I323" s="854">
        <f t="shared" si="48"/>
        <v>4549.741</v>
      </c>
    </row>
    <row r="324" spans="1:9" s="820" customFormat="1" ht="12.75" x14ac:dyDescent="0.2">
      <c r="A324" s="849" t="s">
        <v>149</v>
      </c>
      <c r="B324" s="851"/>
      <c r="C324" s="851" t="s">
        <v>30</v>
      </c>
      <c r="D324" s="851" t="s">
        <v>58</v>
      </c>
      <c r="E324" s="851" t="s">
        <v>141</v>
      </c>
      <c r="F324" s="850"/>
      <c r="G324" s="852">
        <f t="shared" si="48"/>
        <v>4549.741</v>
      </c>
      <c r="H324" s="853">
        <f t="shared" si="48"/>
        <v>4549.741</v>
      </c>
      <c r="I324" s="854">
        <f t="shared" si="48"/>
        <v>4549.741</v>
      </c>
    </row>
    <row r="325" spans="1:9" s="820" customFormat="1" ht="38.25" x14ac:dyDescent="0.2">
      <c r="A325" s="855" t="s">
        <v>409</v>
      </c>
      <c r="B325" s="851"/>
      <c r="C325" s="851" t="s">
        <v>30</v>
      </c>
      <c r="D325" s="851" t="s">
        <v>58</v>
      </c>
      <c r="E325" s="851" t="s">
        <v>141</v>
      </c>
      <c r="F325" s="851" t="s">
        <v>72</v>
      </c>
      <c r="G325" s="852">
        <f t="shared" si="48"/>
        <v>4549.741</v>
      </c>
      <c r="H325" s="853">
        <f t="shared" si="48"/>
        <v>4549.741</v>
      </c>
      <c r="I325" s="854">
        <f t="shared" si="48"/>
        <v>4549.741</v>
      </c>
    </row>
    <row r="326" spans="1:9" s="820" customFormat="1" ht="13.5" thickBot="1" x14ac:dyDescent="0.25">
      <c r="A326" s="855" t="s">
        <v>73</v>
      </c>
      <c r="B326" s="851"/>
      <c r="C326" s="851" t="s">
        <v>30</v>
      </c>
      <c r="D326" s="851" t="s">
        <v>58</v>
      </c>
      <c r="E326" s="851" t="s">
        <v>141</v>
      </c>
      <c r="F326" s="851" t="s">
        <v>74</v>
      </c>
      <c r="G326" s="852">
        <v>4549.741</v>
      </c>
      <c r="H326" s="853">
        <f>G326</f>
        <v>4549.741</v>
      </c>
      <c r="I326" s="854">
        <f>H326</f>
        <v>4549.741</v>
      </c>
    </row>
    <row r="327" spans="1:9" s="982" customFormat="1" ht="27.75" thickBot="1" x14ac:dyDescent="0.3">
      <c r="A327" s="981" t="s">
        <v>405</v>
      </c>
      <c r="B327" s="868"/>
      <c r="C327" s="834" t="s">
        <v>30</v>
      </c>
      <c r="D327" s="834" t="s">
        <v>40</v>
      </c>
      <c r="E327" s="868"/>
      <c r="F327" s="868"/>
      <c r="G327" s="835">
        <f>G328</f>
        <v>2447.49845</v>
      </c>
      <c r="H327" s="835">
        <f>H328</f>
        <v>2148.99845</v>
      </c>
      <c r="I327" s="837">
        <f>I328</f>
        <v>2148.99845</v>
      </c>
    </row>
    <row r="328" spans="1:9" s="799" customFormat="1" ht="25.5" x14ac:dyDescent="0.25">
      <c r="A328" s="983" t="s">
        <v>10</v>
      </c>
      <c r="B328" s="840"/>
      <c r="C328" s="840" t="s">
        <v>30</v>
      </c>
      <c r="D328" s="840" t="s">
        <v>40</v>
      </c>
      <c r="E328" s="984" t="s">
        <v>11</v>
      </c>
      <c r="F328" s="840"/>
      <c r="G328" s="841">
        <f t="shared" ref="G328:I332" si="49">G329</f>
        <v>2447.49845</v>
      </c>
      <c r="H328" s="842">
        <f t="shared" si="49"/>
        <v>2148.99845</v>
      </c>
      <c r="I328" s="843">
        <f t="shared" si="49"/>
        <v>2148.99845</v>
      </c>
    </row>
    <row r="329" spans="1:9" s="982" customFormat="1" ht="25.5" x14ac:dyDescent="0.25">
      <c r="A329" s="985" t="s">
        <v>408</v>
      </c>
      <c r="B329" s="986"/>
      <c r="C329" s="845" t="s">
        <v>30</v>
      </c>
      <c r="D329" s="845" t="s">
        <v>40</v>
      </c>
      <c r="E329" s="987" t="s">
        <v>12</v>
      </c>
      <c r="F329" s="986"/>
      <c r="G329" s="988">
        <f>G330</f>
        <v>2447.49845</v>
      </c>
      <c r="H329" s="989">
        <f t="shared" si="49"/>
        <v>2148.99845</v>
      </c>
      <c r="I329" s="990">
        <f t="shared" si="49"/>
        <v>2148.99845</v>
      </c>
    </row>
    <row r="330" spans="1:9" x14ac:dyDescent="0.25">
      <c r="A330" s="991" t="s">
        <v>406</v>
      </c>
      <c r="B330" s="992"/>
      <c r="C330" s="851" t="s">
        <v>30</v>
      </c>
      <c r="D330" s="851" t="s">
        <v>40</v>
      </c>
      <c r="E330" s="993" t="s">
        <v>14</v>
      </c>
      <c r="F330" s="992"/>
      <c r="G330" s="994">
        <f t="shared" si="49"/>
        <v>2447.49845</v>
      </c>
      <c r="H330" s="994">
        <f t="shared" si="49"/>
        <v>2148.99845</v>
      </c>
      <c r="I330" s="995">
        <f t="shared" si="49"/>
        <v>2148.99845</v>
      </c>
    </row>
    <row r="331" spans="1:9" x14ac:dyDescent="0.25">
      <c r="A331" s="991" t="s">
        <v>70</v>
      </c>
      <c r="B331" s="992"/>
      <c r="C331" s="851" t="s">
        <v>30</v>
      </c>
      <c r="D331" s="851" t="s">
        <v>40</v>
      </c>
      <c r="E331" s="993" t="s">
        <v>71</v>
      </c>
      <c r="F331" s="992"/>
      <c r="G331" s="994">
        <f>G332+G334</f>
        <v>2447.49845</v>
      </c>
      <c r="H331" s="994">
        <f t="shared" ref="H331:I331" si="50">H332+H334</f>
        <v>2148.99845</v>
      </c>
      <c r="I331" s="995">
        <f t="shared" si="50"/>
        <v>2148.99845</v>
      </c>
    </row>
    <row r="332" spans="1:9" ht="38.25" x14ac:dyDescent="0.25">
      <c r="A332" s="996" t="s">
        <v>407</v>
      </c>
      <c r="B332" s="992"/>
      <c r="C332" s="851" t="s">
        <v>30</v>
      </c>
      <c r="D332" s="851" t="s">
        <v>40</v>
      </c>
      <c r="E332" s="993" t="s">
        <v>71</v>
      </c>
      <c r="F332" s="851" t="s">
        <v>72</v>
      </c>
      <c r="G332" s="994">
        <f t="shared" si="49"/>
        <v>1488.99845</v>
      </c>
      <c r="H332" s="997">
        <f t="shared" si="49"/>
        <v>1488.99845</v>
      </c>
      <c r="I332" s="995">
        <f t="shared" si="49"/>
        <v>1488.99845</v>
      </c>
    </row>
    <row r="333" spans="1:9" x14ac:dyDescent="0.25">
      <c r="A333" s="996" t="s">
        <v>73</v>
      </c>
      <c r="B333" s="992"/>
      <c r="C333" s="851" t="s">
        <v>30</v>
      </c>
      <c r="D333" s="851" t="s">
        <v>40</v>
      </c>
      <c r="E333" s="993" t="s">
        <v>71</v>
      </c>
      <c r="F333" s="851" t="s">
        <v>74</v>
      </c>
      <c r="G333" s="994">
        <v>1488.99845</v>
      </c>
      <c r="H333" s="997">
        <f>G333</f>
        <v>1488.99845</v>
      </c>
      <c r="I333" s="995">
        <f>H333</f>
        <v>1488.99845</v>
      </c>
    </row>
    <row r="334" spans="1:9" x14ac:dyDescent="0.25">
      <c r="A334" s="855" t="s">
        <v>31</v>
      </c>
      <c r="B334" s="851"/>
      <c r="C334" s="851" t="s">
        <v>30</v>
      </c>
      <c r="D334" s="851" t="s">
        <v>40</v>
      </c>
      <c r="E334" s="993" t="s">
        <v>71</v>
      </c>
      <c r="F334" s="851" t="s">
        <v>66</v>
      </c>
      <c r="G334" s="998">
        <f>G335</f>
        <v>958.5</v>
      </c>
      <c r="H334" s="999">
        <f>H335</f>
        <v>660</v>
      </c>
      <c r="I334" s="1000">
        <f>I335</f>
        <v>660</v>
      </c>
    </row>
    <row r="335" spans="1:9" ht="16.5" thickBot="1" x14ac:dyDescent="0.3">
      <c r="A335" s="913" t="s">
        <v>67</v>
      </c>
      <c r="B335" s="914"/>
      <c r="C335" s="914" t="s">
        <v>30</v>
      </c>
      <c r="D335" s="914" t="s">
        <v>40</v>
      </c>
      <c r="E335" s="1001" t="s">
        <v>71</v>
      </c>
      <c r="F335" s="914" t="s">
        <v>68</v>
      </c>
      <c r="G335" s="1002">
        <f>660+298.5</f>
        <v>958.5</v>
      </c>
      <c r="H335" s="1003">
        <v>660</v>
      </c>
      <c r="I335" s="1004">
        <v>660</v>
      </c>
    </row>
  </sheetData>
  <autoFilter ref="A21:I335" xr:uid="{00000000-0009-0000-0000-000003000000}"/>
  <mergeCells count="9">
    <mergeCell ref="F19:F20"/>
    <mergeCell ref="A15:I15"/>
    <mergeCell ref="A19:A20"/>
    <mergeCell ref="B19:B20"/>
    <mergeCell ref="C19:C20"/>
    <mergeCell ref="D19:D20"/>
    <mergeCell ref="E19:E20"/>
    <mergeCell ref="A16:I16"/>
    <mergeCell ref="A17:I17"/>
  </mergeCells>
  <phoneticPr fontId="1" type="noConversion"/>
  <printOptions horizontalCentered="1"/>
  <pageMargins left="0" right="0" top="1.3779527559055118" bottom="0.39370078740157483" header="0" footer="0"/>
  <pageSetup paperSize="9" scale="61" fitToHeight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"/>
  <sheetViews>
    <sheetView workbookViewId="0">
      <selection activeCell="B6" sqref="B6"/>
    </sheetView>
  </sheetViews>
  <sheetFormatPr defaultRowHeight="12.75" x14ac:dyDescent="0.2"/>
  <cols>
    <col min="1" max="1" width="70.140625" customWidth="1"/>
    <col min="2" max="2" width="31.85546875" customWidth="1"/>
    <col min="3" max="3" width="16.85546875" customWidth="1"/>
    <col min="4" max="4" width="20.28515625" customWidth="1"/>
    <col min="5" max="5" width="17.85546875" customWidth="1"/>
  </cols>
  <sheetData>
    <row r="1" spans="1:5" ht="15" x14ac:dyDescent="0.25">
      <c r="D1" s="378" t="s">
        <v>439</v>
      </c>
    </row>
    <row r="2" spans="1:5" ht="15" x14ac:dyDescent="0.25">
      <c r="D2" s="378" t="s">
        <v>285</v>
      </c>
    </row>
    <row r="3" spans="1:5" ht="15" x14ac:dyDescent="0.25">
      <c r="D3" s="378" t="s">
        <v>9</v>
      </c>
    </row>
    <row r="4" spans="1:5" ht="15" x14ac:dyDescent="0.25">
      <c r="D4" s="378" t="s">
        <v>390</v>
      </c>
    </row>
    <row r="5" spans="1:5" ht="15" x14ac:dyDescent="0.25">
      <c r="D5" s="378" t="s">
        <v>3</v>
      </c>
    </row>
    <row r="6" spans="1:5" ht="15" x14ac:dyDescent="0.25">
      <c r="D6" s="378" t="str">
        <f>пр.1!D6</f>
        <v>от 10.03.2026 №___</v>
      </c>
    </row>
    <row r="7" spans="1:5" ht="15" x14ac:dyDescent="0.25">
      <c r="D7" s="378"/>
    </row>
    <row r="8" spans="1:5" ht="15" x14ac:dyDescent="0.25">
      <c r="D8" s="378" t="s">
        <v>344</v>
      </c>
    </row>
    <row r="9" spans="1:5" ht="15" x14ac:dyDescent="0.25">
      <c r="D9" s="378" t="s">
        <v>285</v>
      </c>
    </row>
    <row r="10" spans="1:5" ht="15" x14ac:dyDescent="0.25">
      <c r="D10" s="378" t="s">
        <v>9</v>
      </c>
    </row>
    <row r="11" spans="1:5" ht="15" x14ac:dyDescent="0.25">
      <c r="A11" s="423"/>
      <c r="B11" s="409"/>
      <c r="C11" s="409"/>
      <c r="D11" s="378" t="s">
        <v>390</v>
      </c>
    </row>
    <row r="12" spans="1:5" ht="15" x14ac:dyDescent="0.25">
      <c r="A12" s="423"/>
      <c r="B12" s="409"/>
      <c r="C12" s="409"/>
      <c r="D12" s="378" t="s">
        <v>3</v>
      </c>
    </row>
    <row r="13" spans="1:5" ht="15" x14ac:dyDescent="0.25">
      <c r="A13" s="423"/>
      <c r="B13" s="409"/>
      <c r="C13" s="409"/>
      <c r="D13" s="378" t="str">
        <f>пр.1!D13</f>
        <v>от 25.12.2025 №80</v>
      </c>
    </row>
    <row r="14" spans="1:5" ht="15" x14ac:dyDescent="0.25">
      <c r="A14" s="423"/>
      <c r="B14" s="409"/>
      <c r="C14" s="409"/>
      <c r="D14" s="378"/>
    </row>
    <row r="15" spans="1:5" ht="15.75" x14ac:dyDescent="0.2">
      <c r="A15" s="759" t="s">
        <v>345</v>
      </c>
      <c r="B15" s="759"/>
      <c r="C15" s="759"/>
      <c r="D15" s="759"/>
      <c r="E15" s="759"/>
    </row>
    <row r="16" spans="1:5" ht="15.75" x14ac:dyDescent="0.25">
      <c r="A16" s="760" t="s">
        <v>391</v>
      </c>
      <c r="B16" s="760"/>
      <c r="C16" s="760"/>
      <c r="D16" s="760"/>
      <c r="E16" s="760"/>
    </row>
    <row r="17" spans="1:5" ht="15.75" x14ac:dyDescent="0.25">
      <c r="A17" s="760" t="s">
        <v>472</v>
      </c>
      <c r="B17" s="760"/>
      <c r="C17" s="760"/>
      <c r="D17" s="760"/>
      <c r="E17" s="760"/>
    </row>
    <row r="18" spans="1:5" ht="15.75" x14ac:dyDescent="0.25">
      <c r="A18" s="450"/>
      <c r="B18" s="451"/>
      <c r="C18" s="451"/>
    </row>
    <row r="19" spans="1:5" ht="31.5" x14ac:dyDescent="0.2">
      <c r="A19" s="761" t="s">
        <v>0</v>
      </c>
      <c r="B19" s="762" t="s">
        <v>219</v>
      </c>
      <c r="C19" s="452" t="s">
        <v>445</v>
      </c>
      <c r="D19" s="452" t="s">
        <v>445</v>
      </c>
      <c r="E19" s="452" t="s">
        <v>445</v>
      </c>
    </row>
    <row r="20" spans="1:5" ht="15.75" x14ac:dyDescent="0.2">
      <c r="A20" s="761"/>
      <c r="B20" s="762"/>
      <c r="C20" s="452" t="s">
        <v>317</v>
      </c>
      <c r="D20" s="452" t="s">
        <v>343</v>
      </c>
      <c r="E20" s="452" t="s">
        <v>473</v>
      </c>
    </row>
    <row r="21" spans="1:5" ht="15.75" x14ac:dyDescent="0.2">
      <c r="A21" s="453" t="s">
        <v>475</v>
      </c>
      <c r="B21" s="454"/>
      <c r="C21" s="731">
        <v>625.33041000000003</v>
      </c>
      <c r="D21" s="455">
        <v>0</v>
      </c>
      <c r="E21" s="455">
        <v>0</v>
      </c>
    </row>
    <row r="22" spans="1:5" ht="31.5" x14ac:dyDescent="0.2">
      <c r="A22" s="453" t="s">
        <v>168</v>
      </c>
      <c r="B22" s="454" t="s">
        <v>346</v>
      </c>
      <c r="C22" s="455">
        <f>пр.2!C32</f>
        <v>2195.018</v>
      </c>
      <c r="D22" s="455">
        <f>пр.2!D32</f>
        <v>2934.8139999999999</v>
      </c>
      <c r="E22" s="455">
        <f>пр.2!E32</f>
        <v>3061.3049999999998</v>
      </c>
    </row>
    <row r="23" spans="1:5" ht="78.75" x14ac:dyDescent="0.2">
      <c r="A23" s="453" t="s">
        <v>428</v>
      </c>
      <c r="B23" s="456" t="s">
        <v>347</v>
      </c>
      <c r="C23" s="455">
        <f>пр.2!C56</f>
        <v>0</v>
      </c>
      <c r="D23" s="455">
        <f>пр.2!D56</f>
        <v>5217.8</v>
      </c>
      <c r="E23" s="455">
        <f>пр.2!E56</f>
        <v>5123.5</v>
      </c>
    </row>
    <row r="24" spans="1:5" ht="15.75" x14ac:dyDescent="0.2">
      <c r="A24" s="457" t="s">
        <v>348</v>
      </c>
      <c r="B24" s="458"/>
      <c r="C24" s="459">
        <f>SUM(C21:C23)</f>
        <v>2820.3484100000001</v>
      </c>
      <c r="D24" s="459">
        <f>SUM(D21:D23)</f>
        <v>8152.6139999999996</v>
      </c>
      <c r="E24" s="459">
        <f>SUM(E21:E23)</f>
        <v>8184.8050000000003</v>
      </c>
    </row>
  </sheetData>
  <mergeCells count="5">
    <mergeCell ref="A15:E15"/>
    <mergeCell ref="A16:E16"/>
    <mergeCell ref="A17:E17"/>
    <mergeCell ref="A19:A20"/>
    <mergeCell ref="B19:B20"/>
  </mergeCells>
  <printOptions horizontalCentered="1"/>
  <pageMargins left="0" right="0" top="1.3779527559055118" bottom="0.39370078740157483" header="0" footer="0"/>
  <pageSetup paperSize="9" scale="6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0"/>
  <sheetViews>
    <sheetView workbookViewId="0">
      <selection activeCell="A23" sqref="A23"/>
    </sheetView>
  </sheetViews>
  <sheetFormatPr defaultRowHeight="12.75" x14ac:dyDescent="0.2"/>
  <cols>
    <col min="1" max="1" width="76.85546875" customWidth="1"/>
    <col min="4" max="5" width="7.85546875" customWidth="1"/>
    <col min="6" max="6" width="7.140625" bestFit="1" customWidth="1"/>
    <col min="7" max="7" width="13.28515625" bestFit="1" customWidth="1"/>
  </cols>
  <sheetData>
    <row r="1" spans="1:8" ht="15" x14ac:dyDescent="0.25">
      <c r="D1" s="378" t="s">
        <v>231</v>
      </c>
    </row>
    <row r="2" spans="1:8" ht="15" x14ac:dyDescent="0.25">
      <c r="D2" s="378" t="s">
        <v>285</v>
      </c>
    </row>
    <row r="3" spans="1:8" ht="15" x14ac:dyDescent="0.25">
      <c r="D3" s="378" t="s">
        <v>9</v>
      </c>
    </row>
    <row r="4" spans="1:8" ht="15" x14ac:dyDescent="0.25">
      <c r="D4" s="378" t="s">
        <v>390</v>
      </c>
    </row>
    <row r="5" spans="1:8" ht="15" x14ac:dyDescent="0.25">
      <c r="D5" s="378" t="s">
        <v>3</v>
      </c>
    </row>
    <row r="6" spans="1:8" ht="15" x14ac:dyDescent="0.25">
      <c r="D6" s="378" t="str">
        <f>пр.1!D6</f>
        <v>от 10.03.2026 №___</v>
      </c>
    </row>
    <row r="7" spans="1:8" ht="15" x14ac:dyDescent="0.25">
      <c r="D7" s="378"/>
    </row>
    <row r="8" spans="1:8" ht="15" x14ac:dyDescent="0.25">
      <c r="A8" s="408"/>
      <c r="B8" s="408"/>
      <c r="C8" s="408"/>
      <c r="D8" s="378" t="s">
        <v>440</v>
      </c>
      <c r="F8" s="409"/>
      <c r="G8" s="410"/>
      <c r="H8" s="408"/>
    </row>
    <row r="9" spans="1:8" ht="15" x14ac:dyDescent="0.25">
      <c r="A9" s="408"/>
      <c r="B9" s="408"/>
      <c r="C9" s="408"/>
      <c r="D9" s="378" t="s">
        <v>285</v>
      </c>
      <c r="F9" s="409"/>
      <c r="G9" s="411"/>
      <c r="H9" s="408"/>
    </row>
    <row r="10" spans="1:8" ht="15" x14ac:dyDescent="0.25">
      <c r="A10" s="408"/>
      <c r="B10" s="408"/>
      <c r="C10" s="408"/>
      <c r="D10" s="378" t="s">
        <v>9</v>
      </c>
      <c r="F10" s="409"/>
      <c r="G10" s="408"/>
      <c r="H10" s="408"/>
    </row>
    <row r="11" spans="1:8" ht="15" x14ac:dyDescent="0.25">
      <c r="A11" s="408"/>
      <c r="B11" s="408"/>
      <c r="C11" s="408"/>
      <c r="D11" s="378" t="s">
        <v>390</v>
      </c>
      <c r="F11" s="409"/>
      <c r="G11" s="411"/>
      <c r="H11" s="408"/>
    </row>
    <row r="12" spans="1:8" ht="15" x14ac:dyDescent="0.25">
      <c r="A12" s="408"/>
      <c r="B12" s="408"/>
      <c r="C12" s="408"/>
      <c r="D12" s="378" t="s">
        <v>3</v>
      </c>
      <c r="F12" s="409"/>
      <c r="G12" s="411"/>
      <c r="H12" s="408"/>
    </row>
    <row r="13" spans="1:8" ht="15" x14ac:dyDescent="0.25">
      <c r="A13" s="408"/>
      <c r="B13" s="408"/>
      <c r="C13" s="408"/>
      <c r="D13" s="378" t="str">
        <f>пр.1!D13</f>
        <v>от 25.12.2025 №80</v>
      </c>
      <c r="F13" s="409"/>
      <c r="G13" s="412"/>
      <c r="H13" s="408"/>
    </row>
    <row r="14" spans="1:8" ht="15.75" x14ac:dyDescent="0.25">
      <c r="A14" s="770"/>
      <c r="B14" s="770"/>
      <c r="C14" s="770"/>
      <c r="D14" s="770"/>
      <c r="E14" s="770"/>
      <c r="F14" s="770"/>
      <c r="G14" s="770"/>
      <c r="H14" s="408"/>
    </row>
    <row r="15" spans="1:8" ht="15.75" x14ac:dyDescent="0.25">
      <c r="A15" s="770" t="s">
        <v>463</v>
      </c>
      <c r="B15" s="770"/>
      <c r="C15" s="770"/>
      <c r="D15" s="770"/>
      <c r="E15" s="770"/>
      <c r="F15" s="770"/>
      <c r="G15" s="770"/>
      <c r="H15" s="408"/>
    </row>
    <row r="16" spans="1:8" ht="15.75" x14ac:dyDescent="0.25">
      <c r="A16" s="770" t="s">
        <v>509</v>
      </c>
      <c r="B16" s="770"/>
      <c r="C16" s="770"/>
      <c r="D16" s="770"/>
      <c r="E16" s="770"/>
      <c r="F16" s="770"/>
      <c r="G16" s="770"/>
      <c r="H16" s="408"/>
    </row>
    <row r="17" spans="1:8" ht="15.75" x14ac:dyDescent="0.25">
      <c r="A17" s="770" t="s">
        <v>510</v>
      </c>
      <c r="B17" s="770"/>
      <c r="C17" s="770"/>
      <c r="D17" s="770"/>
      <c r="E17" s="770"/>
      <c r="F17" s="770"/>
      <c r="G17" s="770"/>
      <c r="H17" s="408"/>
    </row>
    <row r="18" spans="1:8" ht="15.75" x14ac:dyDescent="0.25">
      <c r="A18" s="770" t="s">
        <v>476</v>
      </c>
      <c r="B18" s="770"/>
      <c r="C18" s="770"/>
      <c r="D18" s="770"/>
      <c r="E18" s="770"/>
      <c r="F18" s="770"/>
      <c r="G18" s="770"/>
      <c r="H18" s="408"/>
    </row>
    <row r="19" spans="1:8" ht="13.5" thickBot="1" x14ac:dyDescent="0.25">
      <c r="A19" s="413"/>
      <c r="B19" s="413"/>
      <c r="C19" s="413"/>
      <c r="D19" s="413"/>
      <c r="E19" s="413"/>
      <c r="F19" s="413"/>
      <c r="G19" s="414"/>
      <c r="H19" s="415"/>
    </row>
    <row r="20" spans="1:8" ht="26.25" thickBot="1" x14ac:dyDescent="0.25">
      <c r="A20" s="416" t="s">
        <v>304</v>
      </c>
      <c r="B20" s="417" t="s">
        <v>305</v>
      </c>
      <c r="C20" s="417" t="s">
        <v>306</v>
      </c>
      <c r="D20" s="771" t="s">
        <v>5</v>
      </c>
      <c r="E20" s="771"/>
      <c r="F20" s="417" t="s">
        <v>307</v>
      </c>
      <c r="G20" s="418" t="s">
        <v>445</v>
      </c>
      <c r="H20" s="408"/>
    </row>
    <row r="21" spans="1:8" s="423" customFormat="1" ht="15.75" thickBot="1" x14ac:dyDescent="0.3">
      <c r="A21" s="419" t="s">
        <v>120</v>
      </c>
      <c r="B21" s="420" t="s">
        <v>309</v>
      </c>
      <c r="C21" s="421"/>
      <c r="D21" s="765"/>
      <c r="E21" s="765"/>
      <c r="F21" s="421"/>
      <c r="G21" s="422">
        <f>G22+G30</f>
        <v>2329.924</v>
      </c>
      <c r="H21" s="409"/>
    </row>
    <row r="22" spans="1:8" ht="25.5" x14ac:dyDescent="0.2">
      <c r="A22" s="424" t="s">
        <v>331</v>
      </c>
      <c r="B22" s="425" t="s">
        <v>309</v>
      </c>
      <c r="C22" s="425" t="s">
        <v>310</v>
      </c>
      <c r="D22" s="769"/>
      <c r="E22" s="769"/>
      <c r="F22" s="426"/>
      <c r="G22" s="427">
        <f>SUM(G23)</f>
        <v>910.22</v>
      </c>
      <c r="H22" s="408"/>
    </row>
    <row r="23" spans="1:8" ht="25.5" x14ac:dyDescent="0.2">
      <c r="A23" s="428" t="s">
        <v>10</v>
      </c>
      <c r="B23" s="429" t="s">
        <v>309</v>
      </c>
      <c r="C23" s="429" t="s">
        <v>310</v>
      </c>
      <c r="D23" s="748" t="s">
        <v>11</v>
      </c>
      <c r="E23" s="748"/>
      <c r="F23" s="430"/>
      <c r="G23" s="431">
        <f>SUM(G24)</f>
        <v>910.22</v>
      </c>
      <c r="H23" s="408"/>
    </row>
    <row r="24" spans="1:8" ht="25.5" x14ac:dyDescent="0.2">
      <c r="A24" s="428" t="s">
        <v>385</v>
      </c>
      <c r="B24" s="429" t="s">
        <v>311</v>
      </c>
      <c r="C24" s="429" t="s">
        <v>310</v>
      </c>
      <c r="D24" s="748" t="s">
        <v>12</v>
      </c>
      <c r="E24" s="748"/>
      <c r="F24" s="430"/>
      <c r="G24" s="431">
        <f>G25</f>
        <v>910.22</v>
      </c>
      <c r="H24" s="408"/>
    </row>
    <row r="25" spans="1:8" x14ac:dyDescent="0.2">
      <c r="A25" s="428" t="s">
        <v>13</v>
      </c>
      <c r="B25" s="429" t="s">
        <v>311</v>
      </c>
      <c r="C25" s="429" t="s">
        <v>310</v>
      </c>
      <c r="D25" s="748" t="s">
        <v>14</v>
      </c>
      <c r="E25" s="748"/>
      <c r="F25" s="430"/>
      <c r="G25" s="431">
        <f>G26+G28</f>
        <v>910.22</v>
      </c>
      <c r="H25" s="408"/>
    </row>
    <row r="26" spans="1:8" ht="25.5" x14ac:dyDescent="0.2">
      <c r="A26" s="428" t="s">
        <v>17</v>
      </c>
      <c r="B26" s="429" t="s">
        <v>309</v>
      </c>
      <c r="C26" s="429" t="s">
        <v>310</v>
      </c>
      <c r="D26" s="748" t="s">
        <v>18</v>
      </c>
      <c r="E26" s="748"/>
      <c r="F26" s="430"/>
      <c r="G26" s="431">
        <f>SUM(G27)</f>
        <v>147.52000000000001</v>
      </c>
      <c r="H26" s="408"/>
    </row>
    <row r="27" spans="1:8" x14ac:dyDescent="0.2">
      <c r="A27" s="428" t="s">
        <v>2</v>
      </c>
      <c r="B27" s="429" t="s">
        <v>309</v>
      </c>
      <c r="C27" s="429" t="s">
        <v>310</v>
      </c>
      <c r="D27" s="748" t="s">
        <v>18</v>
      </c>
      <c r="E27" s="748"/>
      <c r="F27" s="430">
        <v>540</v>
      </c>
      <c r="G27" s="431">
        <f>пр.4!G40</f>
        <v>147.52000000000001</v>
      </c>
      <c r="H27" s="408"/>
    </row>
    <row r="28" spans="1:8" ht="25.5" x14ac:dyDescent="0.2">
      <c r="A28" s="428" t="s">
        <v>312</v>
      </c>
      <c r="B28" s="429" t="s">
        <v>309</v>
      </c>
      <c r="C28" s="429" t="s">
        <v>310</v>
      </c>
      <c r="D28" s="748" t="s">
        <v>15</v>
      </c>
      <c r="E28" s="748"/>
      <c r="F28" s="430"/>
      <c r="G28" s="431">
        <f>G29</f>
        <v>762.7</v>
      </c>
      <c r="H28" s="408"/>
    </row>
    <row r="29" spans="1:8" x14ac:dyDescent="0.2">
      <c r="A29" s="428" t="s">
        <v>2</v>
      </c>
      <c r="B29" s="429" t="s">
        <v>309</v>
      </c>
      <c r="C29" s="429" t="s">
        <v>310</v>
      </c>
      <c r="D29" s="748" t="s">
        <v>15</v>
      </c>
      <c r="E29" s="748"/>
      <c r="F29" s="398" t="s">
        <v>4</v>
      </c>
      <c r="G29" s="431">
        <f>пр.4!G37</f>
        <v>762.7</v>
      </c>
      <c r="H29" s="408"/>
    </row>
    <row r="30" spans="1:8" ht="25.5" x14ac:dyDescent="0.2">
      <c r="A30" s="428" t="s">
        <v>6</v>
      </c>
      <c r="B30" s="429" t="s">
        <v>309</v>
      </c>
      <c r="C30" s="429" t="s">
        <v>313</v>
      </c>
      <c r="D30" s="748"/>
      <c r="E30" s="748"/>
      <c r="F30" s="430"/>
      <c r="G30" s="431">
        <f>G34</f>
        <v>1419.704</v>
      </c>
      <c r="H30" s="408"/>
    </row>
    <row r="31" spans="1:8" ht="25.5" x14ac:dyDescent="0.2">
      <c r="A31" s="428" t="s">
        <v>10</v>
      </c>
      <c r="B31" s="429" t="s">
        <v>309</v>
      </c>
      <c r="C31" s="370" t="s">
        <v>313</v>
      </c>
      <c r="D31" s="748" t="s">
        <v>11</v>
      </c>
      <c r="E31" s="748"/>
      <c r="F31" s="430"/>
      <c r="G31" s="431">
        <f>SUM(G32)</f>
        <v>1419.704</v>
      </c>
      <c r="H31" s="408"/>
    </row>
    <row r="32" spans="1:8" ht="25.5" x14ac:dyDescent="0.2">
      <c r="A32" s="428" t="s">
        <v>385</v>
      </c>
      <c r="B32" s="429" t="s">
        <v>309</v>
      </c>
      <c r="C32" s="370" t="s">
        <v>313</v>
      </c>
      <c r="D32" s="748" t="s">
        <v>12</v>
      </c>
      <c r="E32" s="748"/>
      <c r="F32" s="430"/>
      <c r="G32" s="431">
        <f>SUM(G33)</f>
        <v>1419.704</v>
      </c>
      <c r="H32" s="408"/>
    </row>
    <row r="33" spans="1:8" x14ac:dyDescent="0.2">
      <c r="A33" s="428" t="s">
        <v>13</v>
      </c>
      <c r="B33" s="429" t="s">
        <v>309</v>
      </c>
      <c r="C33" s="370" t="s">
        <v>313</v>
      </c>
      <c r="D33" s="748" t="s">
        <v>14</v>
      </c>
      <c r="E33" s="748"/>
      <c r="F33" s="430"/>
      <c r="G33" s="431">
        <f>SUM(G34)</f>
        <v>1419.704</v>
      </c>
      <c r="H33" s="408"/>
    </row>
    <row r="34" spans="1:8" ht="25.5" x14ac:dyDescent="0.2">
      <c r="A34" s="432" t="s">
        <v>7</v>
      </c>
      <c r="B34" s="370" t="s">
        <v>309</v>
      </c>
      <c r="C34" s="370" t="s">
        <v>313</v>
      </c>
      <c r="D34" s="748" t="s">
        <v>16</v>
      </c>
      <c r="E34" s="748"/>
      <c r="F34" s="370"/>
      <c r="G34" s="372">
        <f>G35</f>
        <v>1419.704</v>
      </c>
      <c r="H34" s="408"/>
    </row>
    <row r="35" spans="1:8" ht="13.5" thickBot="1" x14ac:dyDescent="0.25">
      <c r="A35" s="433" t="s">
        <v>2</v>
      </c>
      <c r="B35" s="434" t="s">
        <v>309</v>
      </c>
      <c r="C35" s="434" t="s">
        <v>313</v>
      </c>
      <c r="D35" s="768" t="s">
        <v>16</v>
      </c>
      <c r="E35" s="768"/>
      <c r="F35" s="434" t="s">
        <v>4</v>
      </c>
      <c r="G35" s="435">
        <f>пр.4!G52</f>
        <v>1419.704</v>
      </c>
      <c r="H35" s="408"/>
    </row>
    <row r="36" spans="1:8" s="440" customFormat="1" ht="15.75" thickBot="1" x14ac:dyDescent="0.3">
      <c r="A36" s="436" t="s">
        <v>127</v>
      </c>
      <c r="B36" s="437" t="s">
        <v>357</v>
      </c>
      <c r="C36" s="437"/>
      <c r="D36" s="765"/>
      <c r="E36" s="765"/>
      <c r="F36" s="437"/>
      <c r="G36" s="438">
        <f>+G37</f>
        <v>497.589</v>
      </c>
      <c r="H36" s="439"/>
    </row>
    <row r="37" spans="1:8" ht="13.5" customHeight="1" x14ac:dyDescent="0.2">
      <c r="A37" s="441" t="s">
        <v>144</v>
      </c>
      <c r="B37" s="442" t="s">
        <v>357</v>
      </c>
      <c r="C37" s="442" t="s">
        <v>358</v>
      </c>
      <c r="D37" s="769"/>
      <c r="E37" s="769"/>
      <c r="F37" s="442"/>
      <c r="G37" s="443">
        <f>G38</f>
        <v>497.589</v>
      </c>
      <c r="H37" s="408"/>
    </row>
    <row r="38" spans="1:8" ht="25.5" x14ac:dyDescent="0.2">
      <c r="A38" s="369" t="s">
        <v>401</v>
      </c>
      <c r="B38" s="370" t="s">
        <v>357</v>
      </c>
      <c r="C38" s="370" t="s">
        <v>358</v>
      </c>
      <c r="D38" s="763" t="s">
        <v>94</v>
      </c>
      <c r="E38" s="763"/>
      <c r="F38" s="370"/>
      <c r="G38" s="372">
        <f>G39</f>
        <v>497.589</v>
      </c>
      <c r="H38" s="408"/>
    </row>
    <row r="39" spans="1:8" x14ac:dyDescent="0.2">
      <c r="A39" s="444" t="s">
        <v>13</v>
      </c>
      <c r="B39" s="370" t="s">
        <v>357</v>
      </c>
      <c r="C39" s="370" t="s">
        <v>358</v>
      </c>
      <c r="D39" s="763" t="s">
        <v>95</v>
      </c>
      <c r="E39" s="763"/>
      <c r="F39" s="370"/>
      <c r="G39" s="372">
        <f>G40</f>
        <v>497.589</v>
      </c>
      <c r="H39" s="408"/>
    </row>
    <row r="40" spans="1:8" x14ac:dyDescent="0.2">
      <c r="A40" s="428" t="s">
        <v>13</v>
      </c>
      <c r="B40" s="370" t="s">
        <v>357</v>
      </c>
      <c r="C40" s="370" t="s">
        <v>358</v>
      </c>
      <c r="D40" s="763" t="s">
        <v>96</v>
      </c>
      <c r="E40" s="763"/>
      <c r="F40" s="370"/>
      <c r="G40" s="372">
        <f>G41</f>
        <v>497.589</v>
      </c>
      <c r="H40" s="408"/>
    </row>
    <row r="41" spans="1:8" ht="51.75" customHeight="1" x14ac:dyDescent="0.2">
      <c r="A41" s="432" t="s">
        <v>421</v>
      </c>
      <c r="B41" s="370" t="s">
        <v>357</v>
      </c>
      <c r="C41" s="370" t="s">
        <v>358</v>
      </c>
      <c r="D41" s="763" t="s">
        <v>359</v>
      </c>
      <c r="E41" s="763"/>
      <c r="F41" s="370"/>
      <c r="G41" s="372">
        <f>G42</f>
        <v>497.589</v>
      </c>
      <c r="H41" s="408"/>
    </row>
    <row r="42" spans="1:8" ht="13.5" thickBot="1" x14ac:dyDescent="0.25">
      <c r="A42" s="445" t="s">
        <v>2</v>
      </c>
      <c r="B42" s="434" t="s">
        <v>357</v>
      </c>
      <c r="C42" s="434" t="s">
        <v>358</v>
      </c>
      <c r="D42" s="764" t="s">
        <v>359</v>
      </c>
      <c r="E42" s="764"/>
      <c r="F42" s="434" t="s">
        <v>4</v>
      </c>
      <c r="G42" s="435">
        <f>пр.4!G129</f>
        <v>497.589</v>
      </c>
      <c r="H42" s="408"/>
    </row>
    <row r="43" spans="1:8" s="440" customFormat="1" ht="15.75" thickBot="1" x14ac:dyDescent="0.3">
      <c r="A43" s="446" t="s">
        <v>128</v>
      </c>
      <c r="B43" s="447" t="s">
        <v>314</v>
      </c>
      <c r="C43" s="437"/>
      <c r="D43" s="765"/>
      <c r="E43" s="765"/>
      <c r="F43" s="437"/>
      <c r="G43" s="438">
        <f>+G44</f>
        <v>469.86419999999998</v>
      </c>
      <c r="H43" s="439"/>
    </row>
    <row r="44" spans="1:8" x14ac:dyDescent="0.2">
      <c r="A44" s="441" t="s">
        <v>35</v>
      </c>
      <c r="B44" s="425" t="s">
        <v>314</v>
      </c>
      <c r="C44" s="425" t="s">
        <v>315</v>
      </c>
      <c r="D44" s="769"/>
      <c r="E44" s="769"/>
      <c r="F44" s="426"/>
      <c r="G44" s="427">
        <f>G48</f>
        <v>469.86419999999998</v>
      </c>
      <c r="H44" s="408"/>
    </row>
    <row r="45" spans="1:8" ht="25.5" x14ac:dyDescent="0.2">
      <c r="A45" s="444" t="s">
        <v>401</v>
      </c>
      <c r="B45" s="429" t="s">
        <v>314</v>
      </c>
      <c r="C45" s="429" t="s">
        <v>315</v>
      </c>
      <c r="D45" s="763" t="s">
        <v>94</v>
      </c>
      <c r="E45" s="763"/>
      <c r="F45" s="430"/>
      <c r="G45" s="431">
        <f>SUM(G46)</f>
        <v>469.86419999999998</v>
      </c>
      <c r="H45" s="408"/>
    </row>
    <row r="46" spans="1:8" x14ac:dyDescent="0.2">
      <c r="A46" s="444" t="s">
        <v>13</v>
      </c>
      <c r="B46" s="429" t="s">
        <v>314</v>
      </c>
      <c r="C46" s="429" t="s">
        <v>315</v>
      </c>
      <c r="D46" s="763" t="s">
        <v>95</v>
      </c>
      <c r="E46" s="763"/>
      <c r="F46" s="430"/>
      <c r="G46" s="431">
        <f>SUM(G47)</f>
        <v>469.86419999999998</v>
      </c>
      <c r="H46" s="408"/>
    </row>
    <row r="47" spans="1:8" x14ac:dyDescent="0.2">
      <c r="A47" s="428" t="s">
        <v>13</v>
      </c>
      <c r="B47" s="429" t="s">
        <v>314</v>
      </c>
      <c r="C47" s="429" t="s">
        <v>315</v>
      </c>
      <c r="D47" s="763" t="s">
        <v>96</v>
      </c>
      <c r="E47" s="763"/>
      <c r="F47" s="430"/>
      <c r="G47" s="431">
        <f>SUM(G48)</f>
        <v>469.86419999999998</v>
      </c>
      <c r="H47" s="408"/>
    </row>
    <row r="48" spans="1:8" ht="38.25" x14ac:dyDescent="0.2">
      <c r="A48" s="432" t="s">
        <v>154</v>
      </c>
      <c r="B48" s="429" t="s">
        <v>314</v>
      </c>
      <c r="C48" s="429" t="s">
        <v>315</v>
      </c>
      <c r="D48" s="763" t="s">
        <v>213</v>
      </c>
      <c r="E48" s="763"/>
      <c r="F48" s="370"/>
      <c r="G48" s="372">
        <f>G49</f>
        <v>469.86419999999998</v>
      </c>
      <c r="H48" s="408"/>
    </row>
    <row r="49" spans="1:8" ht="13.5" thickBot="1" x14ac:dyDescent="0.25">
      <c r="A49" s="445" t="s">
        <v>2</v>
      </c>
      <c r="B49" s="448" t="s">
        <v>314</v>
      </c>
      <c r="C49" s="448" t="s">
        <v>315</v>
      </c>
      <c r="D49" s="764" t="s">
        <v>213</v>
      </c>
      <c r="E49" s="764"/>
      <c r="F49" s="434" t="s">
        <v>4</v>
      </c>
      <c r="G49" s="435">
        <f>пр.4!G172</f>
        <v>469.86419999999998</v>
      </c>
      <c r="H49" s="408"/>
    </row>
    <row r="50" spans="1:8" ht="16.5" thickBot="1" x14ac:dyDescent="0.25">
      <c r="A50" s="766" t="s">
        <v>316</v>
      </c>
      <c r="B50" s="767"/>
      <c r="C50" s="767"/>
      <c r="D50" s="767"/>
      <c r="E50" s="767"/>
      <c r="F50" s="767"/>
      <c r="G50" s="449">
        <f>G21+G36+G43</f>
        <v>3297.3771999999999</v>
      </c>
      <c r="H50" s="408"/>
    </row>
  </sheetData>
  <mergeCells count="36">
    <mergeCell ref="D39:E39"/>
    <mergeCell ref="D40:E40"/>
    <mergeCell ref="D25:E25"/>
    <mergeCell ref="A14:G14"/>
    <mergeCell ref="D20:E20"/>
    <mergeCell ref="D22:E22"/>
    <mergeCell ref="D23:E23"/>
    <mergeCell ref="D24:E24"/>
    <mergeCell ref="D21:E21"/>
    <mergeCell ref="D36:E36"/>
    <mergeCell ref="A15:G15"/>
    <mergeCell ref="A16:G16"/>
    <mergeCell ref="A17:G17"/>
    <mergeCell ref="A18:G18"/>
    <mergeCell ref="D49:E49"/>
    <mergeCell ref="A50:F50"/>
    <mergeCell ref="D45:E4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44:E44"/>
    <mergeCell ref="D37:E37"/>
    <mergeCell ref="D38:E38"/>
    <mergeCell ref="D41:E41"/>
    <mergeCell ref="D42:E42"/>
    <mergeCell ref="D46:E46"/>
    <mergeCell ref="D47:E47"/>
    <mergeCell ref="D48:E48"/>
    <mergeCell ref="D43:E43"/>
  </mergeCells>
  <phoneticPr fontId="35" type="noConversion"/>
  <printOptions horizontalCentered="1"/>
  <pageMargins left="0" right="0" top="1.3779527559055118" bottom="0.39370078740157483" header="0" footer="0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8"/>
  <sheetViews>
    <sheetView topLeftCell="A16" workbookViewId="0">
      <selection activeCell="J26" sqref="J26"/>
    </sheetView>
  </sheetViews>
  <sheetFormatPr defaultRowHeight="12.75" outlineLevelRow="1" x14ac:dyDescent="0.2"/>
  <cols>
    <col min="1" max="1" width="61.42578125" customWidth="1"/>
    <col min="2" max="2" width="15.140625" customWidth="1"/>
    <col min="3" max="3" width="3.5703125" bestFit="1" customWidth="1"/>
    <col min="4" max="4" width="2.7109375" bestFit="1" customWidth="1"/>
    <col min="5" max="5" width="3.28515625" bestFit="1" customWidth="1"/>
    <col min="6" max="6" width="12.28515625" customWidth="1"/>
    <col min="7" max="7" width="12" customWidth="1"/>
    <col min="8" max="8" width="13.140625" customWidth="1"/>
  </cols>
  <sheetData>
    <row r="1" spans="1:8" ht="15" x14ac:dyDescent="0.25">
      <c r="F1" s="378" t="s">
        <v>441</v>
      </c>
    </row>
    <row r="2" spans="1:8" ht="15" x14ac:dyDescent="0.25">
      <c r="F2" s="378" t="s">
        <v>285</v>
      </c>
    </row>
    <row r="3" spans="1:8" ht="15" x14ac:dyDescent="0.25">
      <c r="F3" s="378" t="s">
        <v>9</v>
      </c>
    </row>
    <row r="4" spans="1:8" ht="15" x14ac:dyDescent="0.25">
      <c r="F4" s="378" t="s">
        <v>390</v>
      </c>
    </row>
    <row r="5" spans="1:8" ht="15" x14ac:dyDescent="0.25">
      <c r="F5" s="378" t="s">
        <v>3</v>
      </c>
    </row>
    <row r="6" spans="1:8" ht="15" x14ac:dyDescent="0.25">
      <c r="F6" s="378" t="str">
        <f>пр.1!D6</f>
        <v>от 10.03.2026 №___</v>
      </c>
    </row>
    <row r="7" spans="1:8" ht="15" x14ac:dyDescent="0.25">
      <c r="F7" s="378"/>
    </row>
    <row r="8" spans="1:8" ht="15" x14ac:dyDescent="0.25">
      <c r="F8" s="378" t="s">
        <v>442</v>
      </c>
    </row>
    <row r="9" spans="1:8" ht="15" x14ac:dyDescent="0.25">
      <c r="F9" s="378" t="s">
        <v>285</v>
      </c>
    </row>
    <row r="10" spans="1:8" ht="15" x14ac:dyDescent="0.25">
      <c r="A10" s="379"/>
      <c r="B10" s="380"/>
      <c r="C10" s="380"/>
      <c r="D10" s="380"/>
      <c r="E10" s="379"/>
      <c r="F10" s="378" t="s">
        <v>9</v>
      </c>
      <c r="G10" s="379"/>
      <c r="H10" s="379"/>
    </row>
    <row r="11" spans="1:8" ht="15" x14ac:dyDescent="0.25">
      <c r="A11" s="379"/>
      <c r="B11" s="380"/>
      <c r="C11" s="380"/>
      <c r="D11" s="380"/>
      <c r="E11" s="379"/>
      <c r="F11" s="378" t="s">
        <v>390</v>
      </c>
      <c r="G11" s="373"/>
      <c r="H11" s="373"/>
    </row>
    <row r="12" spans="1:8" ht="15" x14ac:dyDescent="0.25">
      <c r="A12" s="379"/>
      <c r="B12" s="380"/>
      <c r="C12" s="380"/>
      <c r="D12" s="380"/>
      <c r="E12" s="379"/>
      <c r="F12" s="378" t="s">
        <v>3</v>
      </c>
      <c r="G12" s="373"/>
      <c r="H12" s="373"/>
    </row>
    <row r="13" spans="1:8" ht="15" x14ac:dyDescent="0.25">
      <c r="A13" s="379"/>
      <c r="B13" s="380"/>
      <c r="C13" s="380"/>
      <c r="D13" s="380"/>
      <c r="E13" s="379"/>
      <c r="F13" s="378" t="str">
        <f>пр.1!D13</f>
        <v>от 25.12.2025 №80</v>
      </c>
      <c r="G13" s="373"/>
      <c r="H13" s="373"/>
    </row>
    <row r="14" spans="1:8" ht="15" x14ac:dyDescent="0.25">
      <c r="A14" s="379"/>
      <c r="B14" s="380"/>
      <c r="C14" s="380"/>
      <c r="D14" s="380"/>
      <c r="E14" s="379"/>
      <c r="F14" s="378"/>
      <c r="G14" s="373"/>
      <c r="H14" s="373"/>
    </row>
    <row r="15" spans="1:8" ht="15.75" x14ac:dyDescent="0.2">
      <c r="A15" s="775" t="s">
        <v>464</v>
      </c>
      <c r="B15" s="775"/>
      <c r="C15" s="775"/>
      <c r="D15" s="775"/>
      <c r="E15" s="775"/>
      <c r="F15" s="775"/>
      <c r="G15" s="775"/>
      <c r="H15" s="775"/>
    </row>
    <row r="16" spans="1:8" ht="15.75" x14ac:dyDescent="0.2">
      <c r="A16" s="775" t="s">
        <v>465</v>
      </c>
      <c r="B16" s="775"/>
      <c r="C16" s="775"/>
      <c r="D16" s="775"/>
      <c r="E16" s="775"/>
      <c r="F16" s="775"/>
      <c r="G16" s="775"/>
      <c r="H16" s="775"/>
    </row>
    <row r="17" spans="1:8" ht="15.75" x14ac:dyDescent="0.2">
      <c r="A17" s="775" t="s">
        <v>466</v>
      </c>
      <c r="B17" s="775"/>
      <c r="C17" s="775"/>
      <c r="D17" s="775"/>
      <c r="E17" s="775"/>
      <c r="F17" s="775"/>
      <c r="G17" s="775"/>
      <c r="H17" s="775"/>
    </row>
    <row r="18" spans="1:8" ht="15.75" x14ac:dyDescent="0.2">
      <c r="A18" s="775" t="s">
        <v>467</v>
      </c>
      <c r="B18" s="775"/>
      <c r="C18" s="775"/>
      <c r="D18" s="775"/>
      <c r="E18" s="775"/>
      <c r="F18" s="775"/>
      <c r="G18" s="775"/>
      <c r="H18" s="775"/>
    </row>
    <row r="19" spans="1:8" ht="15.75" x14ac:dyDescent="0.2">
      <c r="A19" s="775" t="s">
        <v>474</v>
      </c>
      <c r="B19" s="775"/>
      <c r="C19" s="775"/>
      <c r="D19" s="775"/>
      <c r="E19" s="775"/>
      <c r="F19" s="775"/>
      <c r="G19" s="775"/>
      <c r="H19" s="775"/>
    </row>
    <row r="20" spans="1:8" ht="15.75" x14ac:dyDescent="0.25">
      <c r="A20" s="381"/>
      <c r="B20" s="381"/>
      <c r="C20" s="381"/>
      <c r="D20" s="381"/>
      <c r="E20" s="381"/>
      <c r="F20" s="381"/>
      <c r="G20" s="382"/>
      <c r="H20" s="382"/>
    </row>
    <row r="21" spans="1:8" x14ac:dyDescent="0.2">
      <c r="A21" s="776" t="s">
        <v>0</v>
      </c>
      <c r="B21" s="777" t="s">
        <v>5</v>
      </c>
      <c r="C21" s="777" t="s">
        <v>19</v>
      </c>
      <c r="D21" s="777" t="s">
        <v>20</v>
      </c>
      <c r="E21" s="777" t="s">
        <v>21</v>
      </c>
      <c r="F21" s="778" t="s">
        <v>22</v>
      </c>
      <c r="G21" s="779"/>
      <c r="H21" s="780"/>
    </row>
    <row r="22" spans="1:8" x14ac:dyDescent="0.2">
      <c r="A22" s="776"/>
      <c r="B22" s="777"/>
      <c r="C22" s="777"/>
      <c r="D22" s="777"/>
      <c r="E22" s="777"/>
      <c r="F22" s="383" t="s">
        <v>317</v>
      </c>
      <c r="G22" s="383" t="s">
        <v>343</v>
      </c>
      <c r="H22" s="383" t="s">
        <v>473</v>
      </c>
    </row>
    <row r="23" spans="1:8" x14ac:dyDescent="0.2">
      <c r="A23" s="384" t="s">
        <v>23</v>
      </c>
      <c r="B23" s="385"/>
      <c r="C23" s="385"/>
      <c r="D23" s="385"/>
      <c r="E23" s="385"/>
      <c r="F23" s="386">
        <f>F24</f>
        <v>2820.3484100000001</v>
      </c>
      <c r="G23" s="386">
        <f t="shared" ref="G23:H25" si="0">G24</f>
        <v>8152.6139999999996</v>
      </c>
      <c r="H23" s="386">
        <f t="shared" si="0"/>
        <v>8184.8050000000003</v>
      </c>
    </row>
    <row r="24" spans="1:8" ht="38.25" x14ac:dyDescent="0.2">
      <c r="A24" s="387" t="s">
        <v>375</v>
      </c>
      <c r="B24" s="385" t="s">
        <v>51</v>
      </c>
      <c r="C24" s="385"/>
      <c r="D24" s="388"/>
      <c r="E24" s="388"/>
      <c r="F24" s="389">
        <f>F26</f>
        <v>2820.3484100000001</v>
      </c>
      <c r="G24" s="389">
        <f>G25+G44</f>
        <v>8152.6139999999996</v>
      </c>
      <c r="H24" s="389">
        <f>H25+H42</f>
        <v>8184.8050000000003</v>
      </c>
    </row>
    <row r="25" spans="1:8" ht="20.25" customHeight="1" x14ac:dyDescent="0.2">
      <c r="A25" s="390" t="s">
        <v>232</v>
      </c>
      <c r="B25" s="391" t="s">
        <v>251</v>
      </c>
      <c r="C25" s="391"/>
      <c r="D25" s="392"/>
      <c r="E25" s="392"/>
      <c r="F25" s="393">
        <f>F26</f>
        <v>2820.3484100000001</v>
      </c>
      <c r="G25" s="393">
        <f t="shared" si="0"/>
        <v>2481.0922599999999</v>
      </c>
      <c r="H25" s="393">
        <f t="shared" si="0"/>
        <v>2554.5852100000002</v>
      </c>
    </row>
    <row r="26" spans="1:8" ht="63.75" x14ac:dyDescent="0.2">
      <c r="A26" s="394" t="s">
        <v>252</v>
      </c>
      <c r="B26" s="395" t="s">
        <v>253</v>
      </c>
      <c r="C26" s="395"/>
      <c r="D26" s="392"/>
      <c r="E26" s="392"/>
      <c r="F26" s="396">
        <f>F37+F32+F27</f>
        <v>2820.3484100000001</v>
      </c>
      <c r="G26" s="396">
        <f>G37+G32+G27</f>
        <v>2481.0922599999999</v>
      </c>
      <c r="H26" s="396">
        <f>H37+H32+H27</f>
        <v>2554.5852100000002</v>
      </c>
    </row>
    <row r="27" spans="1:8" ht="60" hidden="1" customHeight="1" outlineLevel="1" x14ac:dyDescent="0.2">
      <c r="A27" s="397" t="s">
        <v>303</v>
      </c>
      <c r="B27" s="370" t="s">
        <v>257</v>
      </c>
      <c r="C27" s="371"/>
      <c r="D27" s="398"/>
      <c r="E27" s="398"/>
      <c r="F27" s="399">
        <f>F29</f>
        <v>0</v>
      </c>
      <c r="G27" s="399">
        <f>G29</f>
        <v>0</v>
      </c>
      <c r="H27" s="399">
        <f>H29</f>
        <v>0</v>
      </c>
    </row>
    <row r="28" spans="1:8" hidden="1" collapsed="1" x14ac:dyDescent="0.2">
      <c r="A28" s="772" t="s">
        <v>361</v>
      </c>
      <c r="B28" s="773"/>
      <c r="C28" s="773"/>
      <c r="D28" s="773"/>
      <c r="E28" s="773"/>
      <c r="F28" s="773"/>
      <c r="G28" s="773"/>
      <c r="H28" s="774"/>
    </row>
    <row r="29" spans="1:8" ht="25.5" hidden="1" x14ac:dyDescent="0.2">
      <c r="A29" s="397" t="s">
        <v>31</v>
      </c>
      <c r="B29" s="370" t="s">
        <v>257</v>
      </c>
      <c r="C29" s="371">
        <v>200</v>
      </c>
      <c r="D29" s="398"/>
      <c r="E29" s="398"/>
      <c r="F29" s="399">
        <f t="shared" ref="F29:H30" si="1">F30</f>
        <v>0</v>
      </c>
      <c r="G29" s="399">
        <f t="shared" si="1"/>
        <v>0</v>
      </c>
      <c r="H29" s="399">
        <f t="shared" si="1"/>
        <v>0</v>
      </c>
    </row>
    <row r="30" spans="1:8" ht="25.5" hidden="1" x14ac:dyDescent="0.2">
      <c r="A30" s="400" t="s">
        <v>32</v>
      </c>
      <c r="B30" s="370" t="s">
        <v>257</v>
      </c>
      <c r="C30" s="371">
        <v>240</v>
      </c>
      <c r="D30" s="398"/>
      <c r="E30" s="398"/>
      <c r="F30" s="399">
        <f t="shared" si="1"/>
        <v>0</v>
      </c>
      <c r="G30" s="399">
        <f t="shared" si="1"/>
        <v>0</v>
      </c>
      <c r="H30" s="399">
        <f t="shared" si="1"/>
        <v>0</v>
      </c>
    </row>
    <row r="31" spans="1:8" hidden="1" x14ac:dyDescent="0.2">
      <c r="A31" s="397" t="s">
        <v>53</v>
      </c>
      <c r="B31" s="370" t="s">
        <v>257</v>
      </c>
      <c r="C31" s="371">
        <v>240</v>
      </c>
      <c r="D31" s="398" t="s">
        <v>36</v>
      </c>
      <c r="E31" s="398" t="s">
        <v>49</v>
      </c>
      <c r="F31" s="399">
        <v>0</v>
      </c>
      <c r="G31" s="399">
        <v>0</v>
      </c>
      <c r="H31" s="399">
        <v>0</v>
      </c>
    </row>
    <row r="32" spans="1:8" ht="38.25" x14ac:dyDescent="0.2">
      <c r="A32" s="397" t="s">
        <v>411</v>
      </c>
      <c r="B32" s="371" t="s">
        <v>395</v>
      </c>
      <c r="C32" s="371"/>
      <c r="D32" s="398"/>
      <c r="E32" s="398"/>
      <c r="F32" s="399">
        <f>F34</f>
        <v>2820.3484100000001</v>
      </c>
      <c r="G32" s="399">
        <f>G34</f>
        <v>2481.0922599999999</v>
      </c>
      <c r="H32" s="399">
        <f>H34</f>
        <v>2554.5852100000002</v>
      </c>
    </row>
    <row r="33" spans="1:8" ht="34.5" customHeight="1" x14ac:dyDescent="0.2">
      <c r="A33" s="772" t="s">
        <v>457</v>
      </c>
      <c r="B33" s="773"/>
      <c r="C33" s="773"/>
      <c r="D33" s="773"/>
      <c r="E33" s="773"/>
      <c r="F33" s="773"/>
      <c r="G33" s="773"/>
      <c r="H33" s="774"/>
    </row>
    <row r="34" spans="1:8" ht="25.5" x14ac:dyDescent="0.2">
      <c r="A34" s="397" t="s">
        <v>31</v>
      </c>
      <c r="B34" s="371" t="s">
        <v>395</v>
      </c>
      <c r="C34" s="371">
        <v>200</v>
      </c>
      <c r="D34" s="398"/>
      <c r="E34" s="398"/>
      <c r="F34" s="399">
        <f t="shared" ref="F34:H35" si="2">F35</f>
        <v>2820.3484100000001</v>
      </c>
      <c r="G34" s="399">
        <f t="shared" si="2"/>
        <v>2481.0922599999999</v>
      </c>
      <c r="H34" s="399">
        <f t="shared" si="2"/>
        <v>2554.5852100000002</v>
      </c>
    </row>
    <row r="35" spans="1:8" ht="25.5" x14ac:dyDescent="0.2">
      <c r="A35" s="400" t="s">
        <v>32</v>
      </c>
      <c r="B35" s="371" t="s">
        <v>395</v>
      </c>
      <c r="C35" s="371">
        <v>240</v>
      </c>
      <c r="D35" s="398"/>
      <c r="E35" s="398"/>
      <c r="F35" s="399">
        <f t="shared" si="2"/>
        <v>2820.3484100000001</v>
      </c>
      <c r="G35" s="399">
        <f t="shared" si="2"/>
        <v>2481.0922599999999</v>
      </c>
      <c r="H35" s="399">
        <f t="shared" si="2"/>
        <v>2554.5852100000002</v>
      </c>
    </row>
    <row r="36" spans="1:8" x14ac:dyDescent="0.2">
      <c r="A36" s="397" t="s">
        <v>53</v>
      </c>
      <c r="B36" s="371" t="s">
        <v>395</v>
      </c>
      <c r="C36" s="371">
        <v>240</v>
      </c>
      <c r="D36" s="398" t="s">
        <v>36</v>
      </c>
      <c r="E36" s="398" t="s">
        <v>49</v>
      </c>
      <c r="F36" s="399">
        <f>пр.4!G147</f>
        <v>2820.3484100000001</v>
      </c>
      <c r="G36" s="399">
        <f>пр.4!H147</f>
        <v>2481.0922599999999</v>
      </c>
      <c r="H36" s="399">
        <f>пр.4!I147</f>
        <v>2554.5852100000002</v>
      </c>
    </row>
    <row r="37" spans="1:8" ht="24.75" hidden="1" customHeight="1" x14ac:dyDescent="0.2">
      <c r="A37" s="397" t="s">
        <v>52</v>
      </c>
      <c r="B37" s="371" t="s">
        <v>254</v>
      </c>
      <c r="C37" s="371"/>
      <c r="D37" s="398"/>
      <c r="E37" s="398"/>
      <c r="F37" s="399">
        <f>F39</f>
        <v>0</v>
      </c>
      <c r="G37" s="399">
        <f>G39</f>
        <v>0</v>
      </c>
      <c r="H37" s="399">
        <f>H39</f>
        <v>0</v>
      </c>
    </row>
    <row r="38" spans="1:8" ht="32.25" hidden="1" customHeight="1" x14ac:dyDescent="0.2">
      <c r="A38" s="772" t="s">
        <v>360</v>
      </c>
      <c r="B38" s="773"/>
      <c r="C38" s="773"/>
      <c r="D38" s="773"/>
      <c r="E38" s="773"/>
      <c r="F38" s="773"/>
      <c r="G38" s="773"/>
      <c r="H38" s="774"/>
    </row>
    <row r="39" spans="1:8" ht="36" hidden="1" customHeight="1" x14ac:dyDescent="0.2">
      <c r="A39" s="397" t="s">
        <v>31</v>
      </c>
      <c r="B39" s="371" t="s">
        <v>254</v>
      </c>
      <c r="C39" s="371">
        <v>200</v>
      </c>
      <c r="D39" s="398"/>
      <c r="E39" s="398"/>
      <c r="F39" s="399">
        <f t="shared" ref="F39:H40" si="3">F40</f>
        <v>0</v>
      </c>
      <c r="G39" s="399">
        <f t="shared" si="3"/>
        <v>0</v>
      </c>
      <c r="H39" s="399">
        <f t="shared" si="3"/>
        <v>0</v>
      </c>
    </row>
    <row r="40" spans="1:8" ht="42" hidden="1" customHeight="1" x14ac:dyDescent="0.2">
      <c r="A40" s="400" t="s">
        <v>32</v>
      </c>
      <c r="B40" s="371" t="s">
        <v>254</v>
      </c>
      <c r="C40" s="371">
        <v>240</v>
      </c>
      <c r="D40" s="398"/>
      <c r="E40" s="398"/>
      <c r="F40" s="399">
        <f t="shared" si="3"/>
        <v>0</v>
      </c>
      <c r="G40" s="399">
        <f t="shared" si="3"/>
        <v>0</v>
      </c>
      <c r="H40" s="399">
        <f t="shared" si="3"/>
        <v>0</v>
      </c>
    </row>
    <row r="41" spans="1:8" ht="25.5" hidden="1" customHeight="1" x14ac:dyDescent="0.2">
      <c r="A41" s="397" t="s">
        <v>53</v>
      </c>
      <c r="B41" s="371" t="s">
        <v>254</v>
      </c>
      <c r="C41" s="371">
        <v>240</v>
      </c>
      <c r="D41" s="398" t="s">
        <v>36</v>
      </c>
      <c r="E41" s="398" t="s">
        <v>49</v>
      </c>
      <c r="F41" s="399">
        <v>0</v>
      </c>
      <c r="G41" s="399">
        <v>0</v>
      </c>
      <c r="H41" s="399">
        <v>0</v>
      </c>
    </row>
    <row r="42" spans="1:8" s="404" customFormat="1" ht="19.5" customHeight="1" x14ac:dyDescent="0.2">
      <c r="A42" s="401" t="s">
        <v>410</v>
      </c>
      <c r="B42" s="402" t="s">
        <v>386</v>
      </c>
      <c r="C42" s="391"/>
      <c r="D42" s="403"/>
      <c r="E42" s="403"/>
      <c r="F42" s="393">
        <f t="shared" ref="F42:H43" si="4">F43</f>
        <v>0</v>
      </c>
      <c r="G42" s="393">
        <f t="shared" si="4"/>
        <v>5671.5217400000001</v>
      </c>
      <c r="H42" s="393">
        <f t="shared" si="4"/>
        <v>5630.2197900000001</v>
      </c>
    </row>
    <row r="43" spans="1:8" s="407" customFormat="1" ht="25.5" x14ac:dyDescent="0.2">
      <c r="A43" s="405" t="s">
        <v>389</v>
      </c>
      <c r="B43" s="406" t="s">
        <v>387</v>
      </c>
      <c r="C43" s="395"/>
      <c r="D43" s="392"/>
      <c r="E43" s="392"/>
      <c r="F43" s="396">
        <f t="shared" si="4"/>
        <v>0</v>
      </c>
      <c r="G43" s="396">
        <f t="shared" si="4"/>
        <v>5671.5217400000001</v>
      </c>
      <c r="H43" s="396">
        <f t="shared" si="4"/>
        <v>5630.2197900000001</v>
      </c>
    </row>
    <row r="44" spans="1:8" x14ac:dyDescent="0.2">
      <c r="A44" s="397" t="s">
        <v>508</v>
      </c>
      <c r="B44" s="371" t="s">
        <v>388</v>
      </c>
      <c r="C44" s="371"/>
      <c r="D44" s="398"/>
      <c r="E44" s="398"/>
      <c r="F44" s="399">
        <f>F46</f>
        <v>0</v>
      </c>
      <c r="G44" s="399">
        <f>G46</f>
        <v>5671.5217400000001</v>
      </c>
      <c r="H44" s="399">
        <f>H46</f>
        <v>5630.2197900000001</v>
      </c>
    </row>
    <row r="45" spans="1:8" x14ac:dyDescent="0.2">
      <c r="A45" s="772" t="s">
        <v>368</v>
      </c>
      <c r="B45" s="773"/>
      <c r="C45" s="773"/>
      <c r="D45" s="773"/>
      <c r="E45" s="773"/>
      <c r="F45" s="773"/>
      <c r="G45" s="773"/>
      <c r="H45" s="774"/>
    </row>
    <row r="46" spans="1:8" ht="25.5" x14ac:dyDescent="0.2">
      <c r="A46" s="397" t="s">
        <v>31</v>
      </c>
      <c r="B46" s="371" t="s">
        <v>388</v>
      </c>
      <c r="C46" s="371">
        <v>200</v>
      </c>
      <c r="D46" s="398"/>
      <c r="E46" s="398"/>
      <c r="F46" s="399">
        <f t="shared" ref="F46:H47" si="5">F47</f>
        <v>0</v>
      </c>
      <c r="G46" s="399">
        <f t="shared" si="5"/>
        <v>5671.5217400000001</v>
      </c>
      <c r="H46" s="399">
        <f t="shared" si="5"/>
        <v>5630.2197900000001</v>
      </c>
    </row>
    <row r="47" spans="1:8" ht="25.5" x14ac:dyDescent="0.2">
      <c r="A47" s="400" t="s">
        <v>32</v>
      </c>
      <c r="B47" s="371" t="s">
        <v>388</v>
      </c>
      <c r="C47" s="371">
        <v>240</v>
      </c>
      <c r="D47" s="398"/>
      <c r="E47" s="398"/>
      <c r="F47" s="399">
        <f t="shared" si="5"/>
        <v>0</v>
      </c>
      <c r="G47" s="399">
        <f t="shared" si="5"/>
        <v>5671.5217400000001</v>
      </c>
      <c r="H47" s="399">
        <f t="shared" si="5"/>
        <v>5630.2197900000001</v>
      </c>
    </row>
    <row r="48" spans="1:8" x14ac:dyDescent="0.2">
      <c r="A48" s="397" t="s">
        <v>53</v>
      </c>
      <c r="B48" s="371" t="s">
        <v>388</v>
      </c>
      <c r="C48" s="371">
        <v>240</v>
      </c>
      <c r="D48" s="398" t="s">
        <v>36</v>
      </c>
      <c r="E48" s="398" t="s">
        <v>49</v>
      </c>
      <c r="F48" s="399">
        <f>пр.4!G156</f>
        <v>0</v>
      </c>
      <c r="G48" s="399">
        <f>пр.4!H156</f>
        <v>5671.5217400000001</v>
      </c>
      <c r="H48" s="399">
        <f>пр.4!I156</f>
        <v>5630.2197900000001</v>
      </c>
    </row>
  </sheetData>
  <mergeCells count="15">
    <mergeCell ref="A45:H45"/>
    <mergeCell ref="A28:H28"/>
    <mergeCell ref="A33:H33"/>
    <mergeCell ref="A38:H38"/>
    <mergeCell ref="A15:H15"/>
    <mergeCell ref="A21:A22"/>
    <mergeCell ref="B21:B22"/>
    <mergeCell ref="C21:C22"/>
    <mergeCell ref="D21:D22"/>
    <mergeCell ref="E21:E22"/>
    <mergeCell ref="F21:H21"/>
    <mergeCell ref="A16:H16"/>
    <mergeCell ref="A17:H17"/>
    <mergeCell ref="A18:H18"/>
    <mergeCell ref="A19:H19"/>
  </mergeCells>
  <printOptions horizontalCentered="1"/>
  <pageMargins left="0" right="0" top="1.3779527559055118" bottom="0.39370078740157483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6C3F-63B0-4E90-B518-D32F23299B92}">
  <sheetPr filterMode="1">
    <pageSetUpPr fitToPage="1"/>
  </sheetPr>
  <dimension ref="A1:H50"/>
  <sheetViews>
    <sheetView topLeftCell="A7" zoomScale="175" zoomScaleNormal="175" workbookViewId="0">
      <selection activeCell="I53" sqref="I53"/>
    </sheetView>
  </sheetViews>
  <sheetFormatPr defaultRowHeight="12.75" x14ac:dyDescent="0.2"/>
  <cols>
    <col min="1" max="1" width="76.85546875" customWidth="1"/>
    <col min="2" max="3" width="0" hidden="1" customWidth="1"/>
    <col min="4" max="5" width="7.85546875" hidden="1" customWidth="1"/>
    <col min="6" max="6" width="7.140625" hidden="1" customWidth="1"/>
    <col min="7" max="7" width="13.28515625" bestFit="1" customWidth="1"/>
  </cols>
  <sheetData>
    <row r="1" spans="1:8" ht="15" x14ac:dyDescent="0.25">
      <c r="D1" s="378" t="s">
        <v>231</v>
      </c>
    </row>
    <row r="2" spans="1:8" ht="15" x14ac:dyDescent="0.25">
      <c r="D2" s="378" t="s">
        <v>285</v>
      </c>
    </row>
    <row r="3" spans="1:8" ht="15" x14ac:dyDescent="0.25">
      <c r="D3" s="378" t="s">
        <v>9</v>
      </c>
    </row>
    <row r="4" spans="1:8" ht="15" x14ac:dyDescent="0.25">
      <c r="D4" s="378" t="s">
        <v>390</v>
      </c>
    </row>
    <row r="5" spans="1:8" ht="15" x14ac:dyDescent="0.25">
      <c r="D5" s="378" t="s">
        <v>3</v>
      </c>
    </row>
    <row r="6" spans="1:8" ht="15" x14ac:dyDescent="0.25">
      <c r="D6" s="378" t="str">
        <f>пр.1!D13</f>
        <v>от 25.12.2025 №80</v>
      </c>
    </row>
    <row r="7" spans="1:8" ht="15" x14ac:dyDescent="0.25">
      <c r="D7" s="378"/>
    </row>
    <row r="8" spans="1:8" ht="15" hidden="1" x14ac:dyDescent="0.25">
      <c r="A8" s="408"/>
      <c r="B8" s="408"/>
      <c r="C8" s="408"/>
      <c r="D8" s="378" t="s">
        <v>440</v>
      </c>
      <c r="F8" s="409"/>
      <c r="G8" s="410"/>
      <c r="H8" s="408"/>
    </row>
    <row r="9" spans="1:8" ht="15" hidden="1" x14ac:dyDescent="0.25">
      <c r="A9" s="408"/>
      <c r="B9" s="408"/>
      <c r="C9" s="408"/>
      <c r="D9" s="378" t="s">
        <v>285</v>
      </c>
      <c r="F9" s="409"/>
      <c r="G9" s="411"/>
      <c r="H9" s="408"/>
    </row>
    <row r="10" spans="1:8" ht="15" hidden="1" x14ac:dyDescent="0.25">
      <c r="A10" s="408"/>
      <c r="B10" s="408"/>
      <c r="C10" s="408"/>
      <c r="D10" s="378" t="s">
        <v>9</v>
      </c>
      <c r="F10" s="409"/>
      <c r="G10" s="408"/>
      <c r="H10" s="408"/>
    </row>
    <row r="11" spans="1:8" ht="15" hidden="1" x14ac:dyDescent="0.25">
      <c r="A11" s="408"/>
      <c r="B11" s="408"/>
      <c r="C11" s="408"/>
      <c r="D11" s="378" t="s">
        <v>390</v>
      </c>
      <c r="F11" s="409"/>
      <c r="G11" s="411"/>
      <c r="H11" s="408"/>
    </row>
    <row r="12" spans="1:8" ht="15" hidden="1" x14ac:dyDescent="0.25">
      <c r="A12" s="408"/>
      <c r="B12" s="408"/>
      <c r="C12" s="408"/>
      <c r="D12" s="378" t="s">
        <v>3</v>
      </c>
      <c r="F12" s="409"/>
      <c r="G12" s="411"/>
      <c r="H12" s="408"/>
    </row>
    <row r="13" spans="1:8" ht="15" hidden="1" x14ac:dyDescent="0.25">
      <c r="A13" s="408"/>
      <c r="B13" s="408"/>
      <c r="C13" s="408"/>
      <c r="D13" s="378" t="s">
        <v>434</v>
      </c>
      <c r="F13" s="409"/>
      <c r="G13" s="412"/>
      <c r="H13" s="408"/>
    </row>
    <row r="14" spans="1:8" ht="15.75" x14ac:dyDescent="0.25">
      <c r="A14" s="770"/>
      <c r="B14" s="770"/>
      <c r="C14" s="770"/>
      <c r="D14" s="770"/>
      <c r="E14" s="770"/>
      <c r="F14" s="770"/>
      <c r="G14" s="770"/>
      <c r="H14" s="408"/>
    </row>
    <row r="15" spans="1:8" ht="15.75" x14ac:dyDescent="0.25">
      <c r="A15" s="770" t="s">
        <v>463</v>
      </c>
      <c r="B15" s="770"/>
      <c r="C15" s="770"/>
      <c r="D15" s="770"/>
      <c r="E15" s="770"/>
      <c r="F15" s="770"/>
      <c r="G15" s="770"/>
      <c r="H15" s="408"/>
    </row>
    <row r="16" spans="1:8" ht="15.75" x14ac:dyDescent="0.25">
      <c r="A16" s="770" t="s">
        <v>509</v>
      </c>
      <c r="B16" s="770"/>
      <c r="C16" s="770"/>
      <c r="D16" s="770"/>
      <c r="E16" s="770"/>
      <c r="F16" s="770"/>
      <c r="G16" s="770"/>
      <c r="H16" s="408"/>
    </row>
    <row r="17" spans="1:8" ht="15.75" x14ac:dyDescent="0.25">
      <c r="A17" s="770" t="s">
        <v>510</v>
      </c>
      <c r="B17" s="770"/>
      <c r="C17" s="770"/>
      <c r="D17" s="770"/>
      <c r="E17" s="770"/>
      <c r="F17" s="770"/>
      <c r="G17" s="770"/>
      <c r="H17" s="408"/>
    </row>
    <row r="18" spans="1:8" ht="15.75" x14ac:dyDescent="0.25">
      <c r="A18" s="770" t="s">
        <v>476</v>
      </c>
      <c r="B18" s="770"/>
      <c r="C18" s="770"/>
      <c r="D18" s="770"/>
      <c r="E18" s="770"/>
      <c r="F18" s="770"/>
      <c r="G18" s="770"/>
      <c r="H18" s="408"/>
    </row>
    <row r="19" spans="1:8" ht="13.5" thickBot="1" x14ac:dyDescent="0.25">
      <c r="A19" s="413"/>
      <c r="B19" s="413"/>
      <c r="C19" s="413"/>
      <c r="D19" s="413"/>
      <c r="E19" s="413"/>
      <c r="F19" s="413"/>
      <c r="G19" s="414"/>
      <c r="H19" s="415"/>
    </row>
    <row r="20" spans="1:8" ht="25.5" x14ac:dyDescent="0.2">
      <c r="A20" s="416" t="s">
        <v>304</v>
      </c>
      <c r="B20" s="417" t="s">
        <v>305</v>
      </c>
      <c r="C20" s="417" t="s">
        <v>306</v>
      </c>
      <c r="D20" s="771" t="s">
        <v>5</v>
      </c>
      <c r="E20" s="771"/>
      <c r="F20" s="417" t="s">
        <v>307</v>
      </c>
      <c r="G20" s="418" t="s">
        <v>445</v>
      </c>
      <c r="H20" s="408"/>
    </row>
    <row r="21" spans="1:8" s="423" customFormat="1" ht="15.75" hidden="1" thickBot="1" x14ac:dyDescent="0.3">
      <c r="A21" s="419" t="s">
        <v>120</v>
      </c>
      <c r="B21" s="420" t="s">
        <v>309</v>
      </c>
      <c r="C21" s="421"/>
      <c r="D21" s="765"/>
      <c r="E21" s="765"/>
      <c r="F21" s="421"/>
      <c r="G21" s="422">
        <f>G22+G30</f>
        <v>2329.924</v>
      </c>
      <c r="H21" s="409"/>
    </row>
    <row r="22" spans="1:8" ht="25.5" x14ac:dyDescent="0.2">
      <c r="A22" s="424" t="s">
        <v>308</v>
      </c>
      <c r="B22" s="425" t="s">
        <v>309</v>
      </c>
      <c r="C22" s="425" t="s">
        <v>310</v>
      </c>
      <c r="D22" s="769"/>
      <c r="E22" s="769"/>
      <c r="F22" s="426"/>
      <c r="G22" s="427">
        <f>SUM(G23)</f>
        <v>910.22</v>
      </c>
      <c r="H22" s="408"/>
    </row>
    <row r="23" spans="1:8" ht="25.5" hidden="1" x14ac:dyDescent="0.2">
      <c r="A23" s="428" t="s">
        <v>10</v>
      </c>
      <c r="B23" s="429" t="s">
        <v>309</v>
      </c>
      <c r="C23" s="429" t="s">
        <v>310</v>
      </c>
      <c r="D23" s="748" t="s">
        <v>11</v>
      </c>
      <c r="E23" s="748"/>
      <c r="F23" s="430"/>
      <c r="G23" s="431">
        <f>SUM(G24)</f>
        <v>910.22</v>
      </c>
      <c r="H23" s="408"/>
    </row>
    <row r="24" spans="1:8" ht="25.5" hidden="1" x14ac:dyDescent="0.2">
      <c r="A24" s="428" t="s">
        <v>385</v>
      </c>
      <c r="B24" s="429" t="s">
        <v>311</v>
      </c>
      <c r="C24" s="429" t="s">
        <v>310</v>
      </c>
      <c r="D24" s="748" t="s">
        <v>12</v>
      </c>
      <c r="E24" s="748"/>
      <c r="F24" s="430"/>
      <c r="G24" s="431">
        <f>G25</f>
        <v>910.22</v>
      </c>
      <c r="H24" s="408"/>
    </row>
    <row r="25" spans="1:8" hidden="1" x14ac:dyDescent="0.2">
      <c r="A25" s="428" t="s">
        <v>13</v>
      </c>
      <c r="B25" s="429" t="s">
        <v>311</v>
      </c>
      <c r="C25" s="429" t="s">
        <v>310</v>
      </c>
      <c r="D25" s="748" t="s">
        <v>14</v>
      </c>
      <c r="E25" s="748"/>
      <c r="F25" s="430"/>
      <c r="G25" s="431">
        <f>G26+G28</f>
        <v>910.22</v>
      </c>
      <c r="H25" s="408"/>
    </row>
    <row r="26" spans="1:8" ht="25.5" hidden="1" x14ac:dyDescent="0.2">
      <c r="A26" s="428" t="s">
        <v>17</v>
      </c>
      <c r="B26" s="429" t="s">
        <v>309</v>
      </c>
      <c r="C26" s="429" t="s">
        <v>310</v>
      </c>
      <c r="D26" s="748" t="s">
        <v>18</v>
      </c>
      <c r="E26" s="748"/>
      <c r="F26" s="430"/>
      <c r="G26" s="431">
        <f>SUM(G27)</f>
        <v>147.52000000000001</v>
      </c>
      <c r="H26" s="408"/>
    </row>
    <row r="27" spans="1:8" hidden="1" x14ac:dyDescent="0.2">
      <c r="A27" s="428" t="s">
        <v>2</v>
      </c>
      <c r="B27" s="429" t="s">
        <v>309</v>
      </c>
      <c r="C27" s="429" t="s">
        <v>310</v>
      </c>
      <c r="D27" s="748" t="s">
        <v>18</v>
      </c>
      <c r="E27" s="748"/>
      <c r="F27" s="430">
        <v>540</v>
      </c>
      <c r="G27" s="431">
        <f>пр.4!G40</f>
        <v>147.52000000000001</v>
      </c>
      <c r="H27" s="408"/>
    </row>
    <row r="28" spans="1:8" ht="25.5" hidden="1" x14ac:dyDescent="0.2">
      <c r="A28" s="428" t="s">
        <v>312</v>
      </c>
      <c r="B28" s="429" t="s">
        <v>309</v>
      </c>
      <c r="C28" s="429" t="s">
        <v>310</v>
      </c>
      <c r="D28" s="748" t="s">
        <v>15</v>
      </c>
      <c r="E28" s="748"/>
      <c r="F28" s="430"/>
      <c r="G28" s="431">
        <f>G29</f>
        <v>762.7</v>
      </c>
      <c r="H28" s="408"/>
    </row>
    <row r="29" spans="1:8" hidden="1" x14ac:dyDescent="0.2">
      <c r="A29" s="428" t="s">
        <v>2</v>
      </c>
      <c r="B29" s="429" t="s">
        <v>309</v>
      </c>
      <c r="C29" s="429" t="s">
        <v>310</v>
      </c>
      <c r="D29" s="748" t="s">
        <v>15</v>
      </c>
      <c r="E29" s="748"/>
      <c r="F29" s="398" t="s">
        <v>4</v>
      </c>
      <c r="G29" s="431">
        <f>пр.4!G37</f>
        <v>762.7</v>
      </c>
      <c r="H29" s="408"/>
    </row>
    <row r="30" spans="1:8" ht="25.5" x14ac:dyDescent="0.2">
      <c r="A30" s="428" t="s">
        <v>6</v>
      </c>
      <c r="B30" s="429" t="s">
        <v>309</v>
      </c>
      <c r="C30" s="429" t="s">
        <v>313</v>
      </c>
      <c r="D30" s="748"/>
      <c r="E30" s="748"/>
      <c r="F30" s="430"/>
      <c r="G30" s="431">
        <f>G34</f>
        <v>1419.704</v>
      </c>
      <c r="H30" s="408"/>
    </row>
    <row r="31" spans="1:8" ht="26.25" hidden="1" thickBot="1" x14ac:dyDescent="0.25">
      <c r="A31" s="428" t="s">
        <v>10</v>
      </c>
      <c r="B31" s="429" t="s">
        <v>309</v>
      </c>
      <c r="C31" s="370" t="s">
        <v>313</v>
      </c>
      <c r="D31" s="748" t="s">
        <v>11</v>
      </c>
      <c r="E31" s="748"/>
      <c r="F31" s="430"/>
      <c r="G31" s="431">
        <f>SUM(G32)</f>
        <v>1419.704</v>
      </c>
      <c r="H31" s="408"/>
    </row>
    <row r="32" spans="1:8" ht="26.25" hidden="1" thickBot="1" x14ac:dyDescent="0.25">
      <c r="A32" s="428" t="s">
        <v>385</v>
      </c>
      <c r="B32" s="429" t="s">
        <v>309</v>
      </c>
      <c r="C32" s="370" t="s">
        <v>313</v>
      </c>
      <c r="D32" s="748" t="s">
        <v>12</v>
      </c>
      <c r="E32" s="748"/>
      <c r="F32" s="430"/>
      <c r="G32" s="431">
        <f>SUM(G33)</f>
        <v>1419.704</v>
      </c>
      <c r="H32" s="408"/>
    </row>
    <row r="33" spans="1:8" ht="13.5" hidden="1" thickBot="1" x14ac:dyDescent="0.25">
      <c r="A33" s="428" t="s">
        <v>13</v>
      </c>
      <c r="B33" s="429" t="s">
        <v>309</v>
      </c>
      <c r="C33" s="370" t="s">
        <v>313</v>
      </c>
      <c r="D33" s="748" t="s">
        <v>14</v>
      </c>
      <c r="E33" s="748"/>
      <c r="F33" s="430"/>
      <c r="G33" s="431">
        <f>SUM(G34)</f>
        <v>1419.704</v>
      </c>
      <c r="H33" s="408"/>
    </row>
    <row r="34" spans="1:8" ht="26.25" hidden="1" thickBot="1" x14ac:dyDescent="0.25">
      <c r="A34" s="432" t="s">
        <v>7</v>
      </c>
      <c r="B34" s="370" t="s">
        <v>309</v>
      </c>
      <c r="C34" s="370" t="s">
        <v>313</v>
      </c>
      <c r="D34" s="748" t="s">
        <v>16</v>
      </c>
      <c r="E34" s="748"/>
      <c r="F34" s="370"/>
      <c r="G34" s="372">
        <f>G35</f>
        <v>1419.704</v>
      </c>
      <c r="H34" s="408"/>
    </row>
    <row r="35" spans="1:8" ht="13.5" hidden="1" thickBot="1" x14ac:dyDescent="0.25">
      <c r="A35" s="433" t="s">
        <v>2</v>
      </c>
      <c r="B35" s="434" t="s">
        <v>309</v>
      </c>
      <c r="C35" s="434" t="s">
        <v>313</v>
      </c>
      <c r="D35" s="768" t="s">
        <v>16</v>
      </c>
      <c r="E35" s="768"/>
      <c r="F35" s="434" t="s">
        <v>4</v>
      </c>
      <c r="G35" s="435">
        <f>пр.4!G52</f>
        <v>1419.704</v>
      </c>
      <c r="H35" s="408"/>
    </row>
    <row r="36" spans="1:8" s="440" customFormat="1" ht="15.75" hidden="1" thickBot="1" x14ac:dyDescent="0.3">
      <c r="A36" s="436" t="s">
        <v>127</v>
      </c>
      <c r="B36" s="437" t="s">
        <v>357</v>
      </c>
      <c r="C36" s="437"/>
      <c r="D36" s="765"/>
      <c r="E36" s="765"/>
      <c r="F36" s="437"/>
      <c r="G36" s="438">
        <f>+G37</f>
        <v>497.589</v>
      </c>
      <c r="H36" s="439"/>
    </row>
    <row r="37" spans="1:8" ht="13.5" customHeight="1" x14ac:dyDescent="0.2">
      <c r="A37" s="441" t="s">
        <v>144</v>
      </c>
      <c r="B37" s="442" t="s">
        <v>357</v>
      </c>
      <c r="C37" s="442" t="s">
        <v>358</v>
      </c>
      <c r="D37" s="769"/>
      <c r="E37" s="769"/>
      <c r="F37" s="442"/>
      <c r="G37" s="443">
        <f>G38</f>
        <v>497.589</v>
      </c>
      <c r="H37" s="408"/>
    </row>
    <row r="38" spans="1:8" ht="26.25" hidden="1" thickBot="1" x14ac:dyDescent="0.25">
      <c r="A38" s="369" t="s">
        <v>401</v>
      </c>
      <c r="B38" s="370" t="s">
        <v>357</v>
      </c>
      <c r="C38" s="370" t="s">
        <v>358</v>
      </c>
      <c r="D38" s="763" t="s">
        <v>94</v>
      </c>
      <c r="E38" s="763"/>
      <c r="F38" s="370"/>
      <c r="G38" s="372">
        <f>G39</f>
        <v>497.589</v>
      </c>
      <c r="H38" s="408"/>
    </row>
    <row r="39" spans="1:8" ht="13.5" hidden="1" thickBot="1" x14ac:dyDescent="0.25">
      <c r="A39" s="444" t="s">
        <v>13</v>
      </c>
      <c r="B39" s="370" t="s">
        <v>357</v>
      </c>
      <c r="C39" s="370" t="s">
        <v>358</v>
      </c>
      <c r="D39" s="763" t="s">
        <v>95</v>
      </c>
      <c r="E39" s="763"/>
      <c r="F39" s="370"/>
      <c r="G39" s="372">
        <f>G40</f>
        <v>497.589</v>
      </c>
      <c r="H39" s="408"/>
    </row>
    <row r="40" spans="1:8" ht="13.5" hidden="1" thickBot="1" x14ac:dyDescent="0.25">
      <c r="A40" s="428" t="s">
        <v>13</v>
      </c>
      <c r="B40" s="370" t="s">
        <v>357</v>
      </c>
      <c r="C40" s="370" t="s">
        <v>358</v>
      </c>
      <c r="D40" s="763" t="s">
        <v>96</v>
      </c>
      <c r="E40" s="763"/>
      <c r="F40" s="370"/>
      <c r="G40" s="372">
        <f>G41</f>
        <v>497.589</v>
      </c>
      <c r="H40" s="408"/>
    </row>
    <row r="41" spans="1:8" ht="51.75" hidden="1" customHeight="1" x14ac:dyDescent="0.2">
      <c r="A41" s="432" t="s">
        <v>421</v>
      </c>
      <c r="B41" s="370" t="s">
        <v>357</v>
      </c>
      <c r="C41" s="370" t="s">
        <v>358</v>
      </c>
      <c r="D41" s="763" t="s">
        <v>359</v>
      </c>
      <c r="E41" s="763"/>
      <c r="F41" s="370"/>
      <c r="G41" s="372">
        <f>G42</f>
        <v>497.589</v>
      </c>
      <c r="H41" s="408"/>
    </row>
    <row r="42" spans="1:8" ht="13.5" hidden="1" thickBot="1" x14ac:dyDescent="0.25">
      <c r="A42" s="445" t="s">
        <v>2</v>
      </c>
      <c r="B42" s="434" t="s">
        <v>357</v>
      </c>
      <c r="C42" s="434" t="s">
        <v>358</v>
      </c>
      <c r="D42" s="764" t="s">
        <v>359</v>
      </c>
      <c r="E42" s="764"/>
      <c r="F42" s="434" t="s">
        <v>4</v>
      </c>
      <c r="G42" s="435">
        <f>пр.4!G129</f>
        <v>497.589</v>
      </c>
      <c r="H42" s="408"/>
    </row>
    <row r="43" spans="1:8" s="440" customFormat="1" ht="15.75" hidden="1" thickBot="1" x14ac:dyDescent="0.3">
      <c r="A43" s="446" t="s">
        <v>128</v>
      </c>
      <c r="B43" s="447" t="s">
        <v>314</v>
      </c>
      <c r="C43" s="437"/>
      <c r="D43" s="765"/>
      <c r="E43" s="765"/>
      <c r="F43" s="437"/>
      <c r="G43" s="438">
        <f>+G44</f>
        <v>469.86419999999998</v>
      </c>
      <c r="H43" s="439"/>
    </row>
    <row r="44" spans="1:8" ht="13.5" thickBot="1" x14ac:dyDescent="0.25">
      <c r="A44" s="441" t="s">
        <v>35</v>
      </c>
      <c r="B44" s="425" t="s">
        <v>314</v>
      </c>
      <c r="C44" s="425" t="s">
        <v>315</v>
      </c>
      <c r="D44" s="769"/>
      <c r="E44" s="769"/>
      <c r="F44" s="426"/>
      <c r="G44" s="427">
        <f>G48</f>
        <v>469.86419999999998</v>
      </c>
      <c r="H44" s="408"/>
    </row>
    <row r="45" spans="1:8" ht="39" hidden="1" thickBot="1" x14ac:dyDescent="0.25">
      <c r="A45" s="444" t="s">
        <v>431</v>
      </c>
      <c r="B45" s="429" t="s">
        <v>314</v>
      </c>
      <c r="C45" s="429" t="s">
        <v>315</v>
      </c>
      <c r="D45" s="763" t="s">
        <v>94</v>
      </c>
      <c r="E45" s="763"/>
      <c r="F45" s="430"/>
      <c r="G45" s="431">
        <f>SUM(G46)</f>
        <v>469.86419999999998</v>
      </c>
      <c r="H45" s="408"/>
    </row>
    <row r="46" spans="1:8" ht="13.5" hidden="1" thickBot="1" x14ac:dyDescent="0.25">
      <c r="A46" s="444" t="s">
        <v>13</v>
      </c>
      <c r="B46" s="429" t="s">
        <v>314</v>
      </c>
      <c r="C46" s="429" t="s">
        <v>315</v>
      </c>
      <c r="D46" s="763" t="s">
        <v>95</v>
      </c>
      <c r="E46" s="763"/>
      <c r="F46" s="430"/>
      <c r="G46" s="431">
        <f>SUM(G47)</f>
        <v>469.86419999999998</v>
      </c>
      <c r="H46" s="408"/>
    </row>
    <row r="47" spans="1:8" ht="13.5" hidden="1" thickBot="1" x14ac:dyDescent="0.25">
      <c r="A47" s="428" t="s">
        <v>13</v>
      </c>
      <c r="B47" s="429" t="s">
        <v>314</v>
      </c>
      <c r="C47" s="429" t="s">
        <v>315</v>
      </c>
      <c r="D47" s="763" t="s">
        <v>96</v>
      </c>
      <c r="E47" s="763"/>
      <c r="F47" s="430"/>
      <c r="G47" s="431">
        <f>SUM(G48)</f>
        <v>469.86419999999998</v>
      </c>
      <c r="H47" s="408"/>
    </row>
    <row r="48" spans="1:8" ht="39" hidden="1" thickBot="1" x14ac:dyDescent="0.25">
      <c r="A48" s="432" t="s">
        <v>154</v>
      </c>
      <c r="B48" s="429" t="s">
        <v>314</v>
      </c>
      <c r="C48" s="429" t="s">
        <v>315</v>
      </c>
      <c r="D48" s="763" t="s">
        <v>213</v>
      </c>
      <c r="E48" s="763"/>
      <c r="F48" s="370"/>
      <c r="G48" s="372">
        <f>G49</f>
        <v>469.86419999999998</v>
      </c>
      <c r="H48" s="408"/>
    </row>
    <row r="49" spans="1:8" ht="13.5" hidden="1" thickBot="1" x14ac:dyDescent="0.25">
      <c r="A49" s="445" t="s">
        <v>2</v>
      </c>
      <c r="B49" s="448" t="s">
        <v>314</v>
      </c>
      <c r="C49" s="448" t="s">
        <v>315</v>
      </c>
      <c r="D49" s="764" t="s">
        <v>213</v>
      </c>
      <c r="E49" s="764"/>
      <c r="F49" s="434" t="s">
        <v>4</v>
      </c>
      <c r="G49" s="435">
        <f>пр.4!G172</f>
        <v>469.86419999999998</v>
      </c>
      <c r="H49" s="408"/>
    </row>
    <row r="50" spans="1:8" ht="16.5" thickBot="1" x14ac:dyDescent="0.25">
      <c r="A50" s="766" t="s">
        <v>316</v>
      </c>
      <c r="B50" s="767"/>
      <c r="C50" s="767"/>
      <c r="D50" s="767"/>
      <c r="E50" s="767"/>
      <c r="F50" s="767"/>
      <c r="G50" s="449">
        <f>G21+G36+G43</f>
        <v>3297.3771999999999</v>
      </c>
      <c r="H50" s="408"/>
    </row>
  </sheetData>
  <autoFilter ref="A20:H50" xr:uid="{81476C3F-63B0-4E90-B518-D32F23299B92}">
    <filterColumn colId="3" showButton="0">
      <filters blank="1"/>
    </filterColumn>
  </autoFilter>
  <mergeCells count="36">
    <mergeCell ref="A50:F50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26:E26"/>
    <mergeCell ref="A14:G14"/>
    <mergeCell ref="A15:G15"/>
    <mergeCell ref="A16:G16"/>
    <mergeCell ref="A17:G17"/>
    <mergeCell ref="A18:G18"/>
    <mergeCell ref="D20:E20"/>
    <mergeCell ref="D21:E21"/>
    <mergeCell ref="D22:E22"/>
    <mergeCell ref="D23:E23"/>
    <mergeCell ref="D24:E24"/>
    <mergeCell ref="D25:E25"/>
  </mergeCells>
  <printOptions horizontalCentered="1"/>
  <pageMargins left="0" right="0" top="1.3779527559055118" bottom="0.39370078740157483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37FC-818E-4960-9B53-E57E8DF9F17B}">
  <sheetPr filterMode="1">
    <pageSetUpPr fitToPage="1"/>
  </sheetPr>
  <dimension ref="A1:G313"/>
  <sheetViews>
    <sheetView topLeftCell="A147" zoomScale="130" zoomScaleNormal="130" workbookViewId="0">
      <selection activeCell="G313" sqref="A19:G313"/>
    </sheetView>
  </sheetViews>
  <sheetFormatPr defaultRowHeight="12.75" x14ac:dyDescent="0.2"/>
  <cols>
    <col min="1" max="1" width="100.7109375" style="52" customWidth="1"/>
    <col min="2" max="6" width="13.28515625" style="52" customWidth="1"/>
    <col min="7" max="16384" width="9.140625" style="52"/>
  </cols>
  <sheetData>
    <row r="1" spans="1:6" ht="15.75" x14ac:dyDescent="0.25">
      <c r="A1" s="202"/>
      <c r="B1" s="306" t="s">
        <v>436</v>
      </c>
      <c r="C1" s="306"/>
      <c r="D1" s="202"/>
      <c r="E1" s="202"/>
      <c r="F1" s="202"/>
    </row>
    <row r="2" spans="1:6" ht="15.75" x14ac:dyDescent="0.25">
      <c r="A2" s="202"/>
      <c r="B2" s="337" t="str">
        <f>пр.1!D9</f>
        <v xml:space="preserve">к  решению совета депутатов             </v>
      </c>
      <c r="C2" s="337"/>
      <c r="D2" s="202"/>
      <c r="E2" s="202"/>
      <c r="F2" s="202"/>
    </row>
    <row r="3" spans="1:6" ht="15.75" x14ac:dyDescent="0.25">
      <c r="A3" s="202"/>
      <c r="B3" s="337" t="str">
        <f>пр.1!D10</f>
        <v>Никольского городского поселения</v>
      </c>
      <c r="C3" s="337"/>
      <c r="D3" s="202"/>
      <c r="E3" s="202"/>
      <c r="F3" s="202"/>
    </row>
    <row r="4" spans="1:6" ht="15.75" x14ac:dyDescent="0.25">
      <c r="A4" s="202"/>
      <c r="B4" s="337" t="str">
        <f>пр.1!D11</f>
        <v>Тосненского муниципального района</v>
      </c>
      <c r="C4" s="337"/>
      <c r="D4" s="202"/>
      <c r="E4" s="202"/>
      <c r="F4" s="202"/>
    </row>
    <row r="5" spans="1:6" ht="15.75" x14ac:dyDescent="0.25">
      <c r="A5" s="202"/>
      <c r="B5" s="337" t="str">
        <f>пр.1!D12</f>
        <v>Ленинградской области</v>
      </c>
      <c r="C5" s="337"/>
      <c r="D5" s="202"/>
      <c r="E5" s="202"/>
      <c r="F5" s="202"/>
    </row>
    <row r="6" spans="1:6" ht="15.75" x14ac:dyDescent="0.25">
      <c r="A6" s="202"/>
      <c r="B6" s="337" t="str">
        <f>пр.1!D13</f>
        <v>от 25.12.2025 №80</v>
      </c>
      <c r="C6" s="337"/>
      <c r="D6" s="202"/>
      <c r="E6" s="202"/>
      <c r="F6" s="202"/>
    </row>
    <row r="7" spans="1:6" ht="15.75" x14ac:dyDescent="0.25">
      <c r="A7" s="202"/>
      <c r="B7" s="337"/>
      <c r="C7" s="337"/>
      <c r="D7" s="202"/>
      <c r="E7" s="202"/>
      <c r="F7" s="202"/>
    </row>
    <row r="8" spans="1:6" ht="15.75" hidden="1" x14ac:dyDescent="0.25">
      <c r="A8" s="202"/>
      <c r="B8" s="306" t="s">
        <v>436</v>
      </c>
      <c r="C8" s="306"/>
      <c r="D8" s="202"/>
      <c r="E8" s="202"/>
      <c r="F8" s="202"/>
    </row>
    <row r="9" spans="1:6" ht="15.75" hidden="1" x14ac:dyDescent="0.25">
      <c r="A9" s="202"/>
      <c r="B9" s="337" t="str">
        <f>пр.1!D16</f>
        <v xml:space="preserve">к  решению совета депутатов             </v>
      </c>
      <c r="C9" s="337"/>
      <c r="D9" s="202"/>
      <c r="E9" s="202"/>
      <c r="F9" s="202"/>
    </row>
    <row r="10" spans="1:6" ht="15.75" hidden="1" x14ac:dyDescent="0.25">
      <c r="A10" s="202"/>
      <c r="B10" s="337" t="str">
        <f>пр.1!D17</f>
        <v>Никольского городского поселения</v>
      </c>
      <c r="C10" s="337"/>
      <c r="D10" s="202"/>
      <c r="E10" s="202"/>
      <c r="F10" s="202"/>
    </row>
    <row r="11" spans="1:6" ht="15.75" hidden="1" x14ac:dyDescent="0.25">
      <c r="A11" s="202"/>
      <c r="B11" s="337" t="str">
        <f>пр.1!D18</f>
        <v>Тосненского муниципального района</v>
      </c>
      <c r="C11" s="337"/>
      <c r="D11" s="202"/>
      <c r="E11" s="202"/>
      <c r="F11" s="202"/>
    </row>
    <row r="12" spans="1:6" ht="15.75" hidden="1" x14ac:dyDescent="0.25">
      <c r="A12" s="202"/>
      <c r="B12" s="337" t="str">
        <f>пр.1!D19</f>
        <v>Ленинградской области</v>
      </c>
      <c r="C12" s="337"/>
      <c r="D12" s="202"/>
      <c r="E12" s="202"/>
      <c r="F12" s="202"/>
    </row>
    <row r="13" spans="1:6" ht="15.75" hidden="1" x14ac:dyDescent="0.25">
      <c r="A13" s="202"/>
      <c r="B13" s="337" t="str">
        <f>пр.1!D20</f>
        <v>от 24.12.2024 №25</v>
      </c>
      <c r="C13" s="337"/>
      <c r="D13" s="202"/>
      <c r="E13" s="202"/>
      <c r="F13" s="202"/>
    </row>
    <row r="14" spans="1:6" x14ac:dyDescent="0.2">
      <c r="A14" s="202"/>
      <c r="B14" s="202"/>
      <c r="C14" s="202"/>
      <c r="D14" s="202"/>
      <c r="E14" s="202"/>
      <c r="F14" s="202"/>
    </row>
    <row r="15" spans="1:6" s="55" customFormat="1" ht="15.75" x14ac:dyDescent="0.25">
      <c r="A15" s="753" t="s">
        <v>461</v>
      </c>
      <c r="B15" s="753"/>
      <c r="C15" s="753"/>
      <c r="D15" s="753"/>
      <c r="E15" s="753"/>
      <c r="F15" s="753"/>
    </row>
    <row r="16" spans="1:6" s="55" customFormat="1" ht="15.75" x14ac:dyDescent="0.25">
      <c r="A16" s="753" t="s">
        <v>460</v>
      </c>
      <c r="B16" s="753"/>
      <c r="C16" s="753"/>
      <c r="D16" s="753"/>
      <c r="E16" s="753"/>
      <c r="F16" s="753"/>
    </row>
    <row r="17" spans="1:7" s="55" customFormat="1" ht="15.75" x14ac:dyDescent="0.25">
      <c r="A17" s="753" t="s">
        <v>474</v>
      </c>
      <c r="B17" s="753"/>
      <c r="C17" s="753"/>
      <c r="D17" s="753"/>
      <c r="E17" s="753"/>
      <c r="F17" s="753"/>
    </row>
    <row r="18" spans="1:7" s="55" customFormat="1" ht="15.75" x14ac:dyDescent="0.25">
      <c r="A18" s="13"/>
      <c r="B18" s="13"/>
      <c r="C18" s="13"/>
      <c r="F18" s="589"/>
    </row>
    <row r="19" spans="1:7" s="55" customFormat="1" ht="16.5" thickBot="1" x14ac:dyDescent="0.3">
      <c r="A19" s="585" t="s">
        <v>0</v>
      </c>
      <c r="B19" s="57" t="s">
        <v>317</v>
      </c>
      <c r="C19" s="57" t="s">
        <v>519</v>
      </c>
      <c r="D19" s="57" t="s">
        <v>343</v>
      </c>
      <c r="E19" s="636" t="s">
        <v>519</v>
      </c>
      <c r="F19" s="636" t="s">
        <v>473</v>
      </c>
      <c r="G19" s="676" t="s">
        <v>519</v>
      </c>
    </row>
    <row r="20" spans="1:7" s="55" customFormat="1" ht="16.5" hidden="1" thickBot="1" x14ac:dyDescent="0.3">
      <c r="A20" s="58" t="s">
        <v>23</v>
      </c>
      <c r="B20" s="60">
        <f>SUM(B21+B195)</f>
        <v>511315.6225</v>
      </c>
      <c r="C20" s="60"/>
      <c r="D20" s="60">
        <f>SUM(D21+D195)</f>
        <v>300886.59135199996</v>
      </c>
      <c r="E20" s="639"/>
      <c r="F20" s="61">
        <f>SUM(F21+F195)</f>
        <v>300724.12843399995</v>
      </c>
    </row>
    <row r="21" spans="1:7" s="55" customFormat="1" ht="16.5" hidden="1" thickBot="1" x14ac:dyDescent="0.3">
      <c r="A21" s="336" t="s">
        <v>24</v>
      </c>
      <c r="B21" s="65">
        <f>B22+B39+B46+B77+B94+B124+B131+B147+B188+B154+B161+B174+B181</f>
        <v>411540.23579000001</v>
      </c>
      <c r="C21" s="65"/>
      <c r="D21" s="65">
        <f>D22+D39+D46+D77+D94+D124+D131+D147+D188+D154+D161+D174+D181</f>
        <v>209427.13945999998</v>
      </c>
      <c r="E21" s="65"/>
      <c r="F21" s="65">
        <f>F22+F39+F46+F77+F94+F124+F131+F147+F188+F154+F161+F174+F181</f>
        <v>207399.45945999998</v>
      </c>
    </row>
    <row r="22" spans="1:7" s="55" customFormat="1" ht="26.25" thickBot="1" x14ac:dyDescent="0.3">
      <c r="A22" s="516" t="s">
        <v>370</v>
      </c>
      <c r="B22" s="517">
        <f>B23</f>
        <v>74019.06</v>
      </c>
      <c r="C22" s="673">
        <f>B22/B313</f>
        <v>0.17985862271258043</v>
      </c>
      <c r="D22" s="517">
        <f>D23</f>
        <v>74019.06</v>
      </c>
      <c r="E22" s="673">
        <f>D22/D313</f>
        <v>0.353435854545191</v>
      </c>
      <c r="F22" s="518">
        <f>F23</f>
        <v>74019.06</v>
      </c>
      <c r="G22" s="673">
        <f>F22/F313</f>
        <v>0.35689128695282663</v>
      </c>
    </row>
    <row r="23" spans="1:7" s="55" customFormat="1" ht="16.5" hidden="1" thickBot="1" x14ac:dyDescent="0.3">
      <c r="A23" s="213" t="s">
        <v>232</v>
      </c>
      <c r="B23" s="71">
        <f>B24</f>
        <v>74019.06</v>
      </c>
      <c r="C23" s="71"/>
      <c r="D23" s="71">
        <f>D24</f>
        <v>74019.06</v>
      </c>
      <c r="E23" s="640"/>
      <c r="F23" s="72">
        <f>F24</f>
        <v>74019.06</v>
      </c>
    </row>
    <row r="24" spans="1:7" s="55" customFormat="1" ht="16.5" hidden="1" thickBot="1" x14ac:dyDescent="0.3">
      <c r="A24" s="89" t="s">
        <v>280</v>
      </c>
      <c r="B24" s="73">
        <f>B25+B35</f>
        <v>74019.06</v>
      </c>
      <c r="C24" s="73"/>
      <c r="D24" s="73">
        <f>D25+D35</f>
        <v>74019.06</v>
      </c>
      <c r="E24" s="641"/>
      <c r="F24" s="74">
        <f>F25+F35</f>
        <v>74019.06</v>
      </c>
    </row>
    <row r="25" spans="1:7" s="55" customFormat="1" ht="16.5" hidden="1" thickBot="1" x14ac:dyDescent="0.3">
      <c r="A25" s="75" t="s">
        <v>26</v>
      </c>
      <c r="B25" s="3">
        <f>B26+B29+B32</f>
        <v>73269.06</v>
      </c>
      <c r="C25" s="3"/>
      <c r="D25" s="3">
        <f>D26+D29+D32</f>
        <v>73269.06</v>
      </c>
      <c r="E25" s="642"/>
      <c r="F25" s="77">
        <f>F26+F29+F32</f>
        <v>73269.06</v>
      </c>
    </row>
    <row r="26" spans="1:7" s="55" customFormat="1" ht="26.25" hidden="1" thickBot="1" x14ac:dyDescent="0.3">
      <c r="A26" s="75" t="s">
        <v>27</v>
      </c>
      <c r="B26" s="3">
        <f t="shared" ref="B26:F27" si="0">B27</f>
        <v>33997.06</v>
      </c>
      <c r="C26" s="3"/>
      <c r="D26" s="3">
        <f t="shared" si="0"/>
        <v>33997.06</v>
      </c>
      <c r="E26" s="642"/>
      <c r="F26" s="77">
        <f t="shared" si="0"/>
        <v>33997.06</v>
      </c>
    </row>
    <row r="27" spans="1:7" s="55" customFormat="1" ht="16.5" hidden="1" thickBot="1" x14ac:dyDescent="0.3">
      <c r="A27" s="10" t="s">
        <v>133</v>
      </c>
      <c r="B27" s="3">
        <f t="shared" si="0"/>
        <v>33997.06</v>
      </c>
      <c r="C27" s="3"/>
      <c r="D27" s="3">
        <f t="shared" si="0"/>
        <v>33997.06</v>
      </c>
      <c r="E27" s="642"/>
      <c r="F27" s="77">
        <f t="shared" si="0"/>
        <v>33997.06</v>
      </c>
    </row>
    <row r="28" spans="1:7" s="55" customFormat="1" ht="16.5" hidden="1" thickBot="1" x14ac:dyDescent="0.3">
      <c r="A28" s="338" t="s">
        <v>28</v>
      </c>
      <c r="B28" s="3">
        <f>пр.4!G300</f>
        <v>33997.06</v>
      </c>
      <c r="C28" s="3"/>
      <c r="D28" s="3">
        <f>пр.4!H300</f>
        <v>33997.06</v>
      </c>
      <c r="E28" s="642"/>
      <c r="F28" s="77">
        <f>пр.4!I300</f>
        <v>33997.06</v>
      </c>
    </row>
    <row r="29" spans="1:7" s="55" customFormat="1" ht="16.5" hidden="1" thickBot="1" x14ac:dyDescent="0.3">
      <c r="A29" s="75" t="s">
        <v>31</v>
      </c>
      <c r="B29" s="3">
        <f t="shared" ref="B29:F30" si="1">B30</f>
        <v>39247</v>
      </c>
      <c r="C29" s="3"/>
      <c r="D29" s="3">
        <f t="shared" si="1"/>
        <v>39247</v>
      </c>
      <c r="E29" s="642"/>
      <c r="F29" s="77">
        <f t="shared" si="1"/>
        <v>39247</v>
      </c>
    </row>
    <row r="30" spans="1:7" s="55" customFormat="1" ht="16.5" hidden="1" thickBot="1" x14ac:dyDescent="0.3">
      <c r="A30" s="10" t="s">
        <v>67</v>
      </c>
      <c r="B30" s="3">
        <f t="shared" si="1"/>
        <v>39247</v>
      </c>
      <c r="C30" s="3"/>
      <c r="D30" s="3">
        <f t="shared" si="1"/>
        <v>39247</v>
      </c>
      <c r="E30" s="642"/>
      <c r="F30" s="77">
        <f t="shared" si="1"/>
        <v>39247</v>
      </c>
    </row>
    <row r="31" spans="1:7" s="55" customFormat="1" ht="16.5" hidden="1" thickBot="1" x14ac:dyDescent="0.3">
      <c r="A31" s="338" t="s">
        <v>28</v>
      </c>
      <c r="B31" s="3">
        <f>пр.4!G302</f>
        <v>39247</v>
      </c>
      <c r="C31" s="3"/>
      <c r="D31" s="3">
        <f>пр.4!H302</f>
        <v>39247</v>
      </c>
      <c r="E31" s="642"/>
      <c r="F31" s="77">
        <f>пр.4!I302</f>
        <v>39247</v>
      </c>
    </row>
    <row r="32" spans="1:7" s="55" customFormat="1" ht="16.5" hidden="1" thickBot="1" x14ac:dyDescent="0.3">
      <c r="A32" s="75" t="s">
        <v>33</v>
      </c>
      <c r="B32" s="3">
        <f t="shared" ref="B32:F33" si="2">B33</f>
        <v>25</v>
      </c>
      <c r="C32" s="3"/>
      <c r="D32" s="3">
        <f t="shared" si="2"/>
        <v>25</v>
      </c>
      <c r="E32" s="642"/>
      <c r="F32" s="77">
        <f t="shared" si="2"/>
        <v>25</v>
      </c>
    </row>
    <row r="33" spans="1:7" s="55" customFormat="1" ht="16.5" hidden="1" thickBot="1" x14ac:dyDescent="0.3">
      <c r="A33" s="10" t="s">
        <v>76</v>
      </c>
      <c r="B33" s="3">
        <f t="shared" si="2"/>
        <v>25</v>
      </c>
      <c r="C33" s="3"/>
      <c r="D33" s="3">
        <f t="shared" si="2"/>
        <v>25</v>
      </c>
      <c r="E33" s="642"/>
      <c r="F33" s="77">
        <f t="shared" si="2"/>
        <v>25</v>
      </c>
    </row>
    <row r="34" spans="1:7" s="55" customFormat="1" ht="16.5" hidden="1" thickBot="1" x14ac:dyDescent="0.3">
      <c r="A34" s="338" t="s">
        <v>28</v>
      </c>
      <c r="B34" s="3">
        <f>пр.4!G304</f>
        <v>25</v>
      </c>
      <c r="C34" s="3"/>
      <c r="D34" s="3">
        <f>пр.4!H304</f>
        <v>25</v>
      </c>
      <c r="E34" s="642"/>
      <c r="F34" s="77">
        <f>пр.4!I304</f>
        <v>25</v>
      </c>
    </row>
    <row r="35" spans="1:7" s="55" customFormat="1" ht="16.5" hidden="1" thickBot="1" x14ac:dyDescent="0.3">
      <c r="A35" s="82" t="s">
        <v>34</v>
      </c>
      <c r="B35" s="80">
        <f t="shared" ref="B35:F37" si="3">B36</f>
        <v>750</v>
      </c>
      <c r="C35" s="80"/>
      <c r="D35" s="80">
        <f t="shared" si="3"/>
        <v>750</v>
      </c>
      <c r="E35" s="643"/>
      <c r="F35" s="81">
        <f t="shared" si="3"/>
        <v>750</v>
      </c>
    </row>
    <row r="36" spans="1:7" s="55" customFormat="1" ht="16.5" hidden="1" thickBot="1" x14ac:dyDescent="0.3">
      <c r="A36" s="75" t="s">
        <v>31</v>
      </c>
      <c r="B36" s="80">
        <f t="shared" si="3"/>
        <v>750</v>
      </c>
      <c r="C36" s="80"/>
      <c r="D36" s="80">
        <f t="shared" si="3"/>
        <v>750</v>
      </c>
      <c r="E36" s="643"/>
      <c r="F36" s="81">
        <f t="shared" si="3"/>
        <v>750</v>
      </c>
    </row>
    <row r="37" spans="1:7" s="55" customFormat="1" ht="16.5" hidden="1" thickBot="1" x14ac:dyDescent="0.3">
      <c r="A37" s="10" t="s">
        <v>67</v>
      </c>
      <c r="B37" s="80">
        <f t="shared" si="3"/>
        <v>750</v>
      </c>
      <c r="C37" s="80"/>
      <c r="D37" s="80">
        <f t="shared" si="3"/>
        <v>750</v>
      </c>
      <c r="E37" s="643"/>
      <c r="F37" s="81">
        <f t="shared" si="3"/>
        <v>750</v>
      </c>
    </row>
    <row r="38" spans="1:7" s="55" customFormat="1" ht="16.5" hidden="1" thickBot="1" x14ac:dyDescent="0.3">
      <c r="A38" s="339" t="s">
        <v>28</v>
      </c>
      <c r="B38" s="83">
        <f>пр.4!G307</f>
        <v>750</v>
      </c>
      <c r="C38" s="83"/>
      <c r="D38" s="83">
        <f>пр.4!H307</f>
        <v>750</v>
      </c>
      <c r="E38" s="644"/>
      <c r="F38" s="84">
        <f>пр.4!I307</f>
        <v>750</v>
      </c>
    </row>
    <row r="39" spans="1:7" s="55" customFormat="1" ht="32.25" customHeight="1" thickBot="1" x14ac:dyDescent="0.3">
      <c r="A39" s="519" t="s">
        <v>371</v>
      </c>
      <c r="B39" s="517">
        <f>B40</f>
        <v>2383.92</v>
      </c>
      <c r="C39" s="673">
        <f>B39/B313</f>
        <v>5.7926778299666973E-3</v>
      </c>
      <c r="D39" s="517">
        <f>D40</f>
        <v>1330.9490000000001</v>
      </c>
      <c r="E39" s="673">
        <f>D39/D313</f>
        <v>6.3551887469398757E-3</v>
      </c>
      <c r="F39" s="518">
        <f>F40</f>
        <v>0</v>
      </c>
      <c r="G39" s="673">
        <f>F39/F313</f>
        <v>0</v>
      </c>
    </row>
    <row r="40" spans="1:7" s="55" customFormat="1" ht="16.5" hidden="1" thickBot="1" x14ac:dyDescent="0.3">
      <c r="A40" s="185" t="s">
        <v>410</v>
      </c>
      <c r="B40" s="110">
        <f t="shared" ref="B40:F41" si="4">B41</f>
        <v>2383.92</v>
      </c>
      <c r="C40" s="110"/>
      <c r="D40" s="110">
        <f t="shared" si="4"/>
        <v>1330.9490000000001</v>
      </c>
      <c r="E40" s="673">
        <v>0.22889954553147657</v>
      </c>
      <c r="F40" s="111">
        <f t="shared" si="4"/>
        <v>0</v>
      </c>
    </row>
    <row r="41" spans="1:7" s="55" customFormat="1" ht="16.5" hidden="1" thickBot="1" x14ac:dyDescent="0.3">
      <c r="A41" s="89" t="s">
        <v>339</v>
      </c>
      <c r="B41" s="73">
        <f t="shared" si="4"/>
        <v>2383.92</v>
      </c>
      <c r="C41" s="73"/>
      <c r="D41" s="73">
        <f t="shared" si="4"/>
        <v>1330.9490000000001</v>
      </c>
      <c r="E41" s="673">
        <v>3.7563900502304369E-2</v>
      </c>
      <c r="F41" s="74">
        <f t="shared" si="4"/>
        <v>0</v>
      </c>
    </row>
    <row r="42" spans="1:7" s="55" customFormat="1" ht="16.5" hidden="1" thickBot="1" x14ac:dyDescent="0.3">
      <c r="A42" s="9" t="s">
        <v>340</v>
      </c>
      <c r="B42" s="3">
        <f>B45</f>
        <v>2383.92</v>
      </c>
      <c r="C42" s="3"/>
      <c r="D42" s="3">
        <f>D45</f>
        <v>1330.9490000000001</v>
      </c>
      <c r="E42" s="673">
        <v>0.20872800259398647</v>
      </c>
      <c r="F42" s="77">
        <f>F45</f>
        <v>0</v>
      </c>
    </row>
    <row r="43" spans="1:7" s="55" customFormat="1" ht="16.5" hidden="1" thickBot="1" x14ac:dyDescent="0.3">
      <c r="A43" s="340" t="s">
        <v>39</v>
      </c>
      <c r="B43" s="3">
        <f t="shared" ref="B43:F44" si="5">B44</f>
        <v>2383.92</v>
      </c>
      <c r="C43" s="3"/>
      <c r="D43" s="3">
        <f t="shared" si="5"/>
        <v>1330.9490000000001</v>
      </c>
      <c r="E43" s="673">
        <v>1.5183468270939518E-3</v>
      </c>
      <c r="F43" s="77">
        <f t="shared" si="5"/>
        <v>0</v>
      </c>
    </row>
    <row r="44" spans="1:7" s="55" customFormat="1" ht="16.5" hidden="1" thickBot="1" x14ac:dyDescent="0.3">
      <c r="A44" s="99" t="s">
        <v>135</v>
      </c>
      <c r="B44" s="3">
        <f t="shared" si="5"/>
        <v>2383.92</v>
      </c>
      <c r="C44" s="3"/>
      <c r="D44" s="3">
        <f t="shared" si="5"/>
        <v>1330.9490000000001</v>
      </c>
      <c r="E44" s="674">
        <v>0.22159922493913975</v>
      </c>
      <c r="F44" s="77">
        <f t="shared" si="5"/>
        <v>0</v>
      </c>
    </row>
    <row r="45" spans="1:7" s="55" customFormat="1" ht="16.5" hidden="1" thickBot="1" x14ac:dyDescent="0.3">
      <c r="A45" s="342" t="s">
        <v>214</v>
      </c>
      <c r="B45" s="93">
        <f>пр.4!G292</f>
        <v>2383.92</v>
      </c>
      <c r="C45" s="93"/>
      <c r="D45" s="93">
        <f>пр.4!H292</f>
        <v>1330.9490000000001</v>
      </c>
      <c r="E45" s="673">
        <v>3.0366936541879034E-4</v>
      </c>
      <c r="F45" s="94">
        <f>пр.4!I292</f>
        <v>0</v>
      </c>
    </row>
    <row r="46" spans="1:7" s="55" customFormat="1" ht="26.25" thickBot="1" x14ac:dyDescent="0.3">
      <c r="A46" s="516" t="s">
        <v>372</v>
      </c>
      <c r="B46" s="517">
        <f>B47</f>
        <v>71959.808160000015</v>
      </c>
      <c r="C46" s="673">
        <f>B46/B313</f>
        <v>0.17485485476739518</v>
      </c>
      <c r="D46" s="517">
        <f>D47</f>
        <v>61226.976860000002</v>
      </c>
      <c r="E46" s="673">
        <f>D46/D313</f>
        <v>0.29235454878422851</v>
      </c>
      <c r="F46" s="518">
        <f>F47</f>
        <v>60998.054859999997</v>
      </c>
      <c r="G46" s="673">
        <f>F46/F313</f>
        <v>0.2941090348972889</v>
      </c>
    </row>
    <row r="47" spans="1:7" s="55" customFormat="1" ht="16.5" hidden="1" thickBot="1" x14ac:dyDescent="0.3">
      <c r="A47" s="185" t="s">
        <v>232</v>
      </c>
      <c r="B47" s="110">
        <f>B48+B53+B58</f>
        <v>71959.808160000015</v>
      </c>
      <c r="C47" s="110"/>
      <c r="D47" s="110">
        <f>D48+D53+D58</f>
        <v>61226.976860000002</v>
      </c>
      <c r="E47" s="675">
        <v>3.0366936541879034E-4</v>
      </c>
      <c r="F47" s="111">
        <f>F48+F53+F58</f>
        <v>60998.054859999997</v>
      </c>
    </row>
    <row r="48" spans="1:7" s="55" customFormat="1" ht="16.5" hidden="1" thickBot="1" x14ac:dyDescent="0.3">
      <c r="A48" s="89" t="s">
        <v>234</v>
      </c>
      <c r="B48" s="73">
        <f>B52</f>
        <v>1100</v>
      </c>
      <c r="C48" s="73"/>
      <c r="D48" s="73">
        <f>D49</f>
        <v>1100</v>
      </c>
      <c r="E48" s="673">
        <v>6.2923405186502787E-2</v>
      </c>
      <c r="F48" s="74">
        <f>F49</f>
        <v>1100</v>
      </c>
    </row>
    <row r="49" spans="1:6" s="55" customFormat="1" ht="16.5" hidden="1" thickBot="1" x14ac:dyDescent="0.3">
      <c r="A49" s="9" t="s">
        <v>42</v>
      </c>
      <c r="B49" s="3">
        <f t="shared" ref="B49:F51" si="6">B50</f>
        <v>1100</v>
      </c>
      <c r="C49" s="3"/>
      <c r="D49" s="3">
        <f t="shared" si="6"/>
        <v>1100</v>
      </c>
      <c r="E49" s="673">
        <v>1.5183468270939518E-5</v>
      </c>
      <c r="F49" s="77">
        <f t="shared" si="6"/>
        <v>1100</v>
      </c>
    </row>
    <row r="50" spans="1:6" s="55" customFormat="1" ht="16.5" hidden="1" thickBot="1" x14ac:dyDescent="0.3">
      <c r="A50" s="9" t="s">
        <v>31</v>
      </c>
      <c r="B50" s="3">
        <f t="shared" si="6"/>
        <v>1100</v>
      </c>
      <c r="C50" s="3"/>
      <c r="D50" s="3">
        <f t="shared" si="6"/>
        <v>1100</v>
      </c>
      <c r="E50" s="673">
        <v>7.178809391083135E-3</v>
      </c>
      <c r="F50" s="77">
        <f t="shared" si="6"/>
        <v>1100</v>
      </c>
    </row>
    <row r="51" spans="1:6" s="55" customFormat="1" ht="16.5" hidden="1" thickBot="1" x14ac:dyDescent="0.3">
      <c r="A51" s="10" t="s">
        <v>67</v>
      </c>
      <c r="B51" s="3">
        <f t="shared" si="6"/>
        <v>1100</v>
      </c>
      <c r="C51" s="3"/>
      <c r="D51" s="3">
        <f t="shared" si="6"/>
        <v>1100</v>
      </c>
      <c r="E51" s="642"/>
      <c r="F51" s="77">
        <f t="shared" si="6"/>
        <v>1100</v>
      </c>
    </row>
    <row r="52" spans="1:6" s="55" customFormat="1" ht="16.5" hidden="1" thickBot="1" x14ac:dyDescent="0.3">
      <c r="A52" s="338" t="s">
        <v>296</v>
      </c>
      <c r="B52" s="3">
        <f>пр.4!G254</f>
        <v>1100</v>
      </c>
      <c r="C52" s="3"/>
      <c r="D52" s="3">
        <f>пр.4!H254</f>
        <v>1100</v>
      </c>
      <c r="E52" s="642"/>
      <c r="F52" s="77">
        <f>пр.4!I254</f>
        <v>1100</v>
      </c>
    </row>
    <row r="53" spans="1:6" s="55" customFormat="1" ht="16.5" hidden="1" thickBot="1" x14ac:dyDescent="0.3">
      <c r="A53" s="89" t="s">
        <v>237</v>
      </c>
      <c r="B53" s="73">
        <f>SUM(B56)</f>
        <v>763.1</v>
      </c>
      <c r="C53" s="73"/>
      <c r="D53" s="73">
        <f>SUM(D56)</f>
        <v>563.1</v>
      </c>
      <c r="E53" s="641"/>
      <c r="F53" s="74">
        <f>SUM(F56)</f>
        <v>563.1</v>
      </c>
    </row>
    <row r="54" spans="1:6" s="55" customFormat="1" ht="16.5" hidden="1" thickBot="1" x14ac:dyDescent="0.3">
      <c r="A54" s="9" t="s">
        <v>44</v>
      </c>
      <c r="B54" s="3">
        <f>B57</f>
        <v>763.1</v>
      </c>
      <c r="C54" s="3"/>
      <c r="D54" s="3">
        <f>D57</f>
        <v>563.1</v>
      </c>
      <c r="E54" s="642"/>
      <c r="F54" s="77">
        <f>F57</f>
        <v>563.1</v>
      </c>
    </row>
    <row r="55" spans="1:6" s="55" customFormat="1" ht="16.5" hidden="1" thickBot="1" x14ac:dyDescent="0.3">
      <c r="A55" s="9" t="s">
        <v>31</v>
      </c>
      <c r="B55" s="3">
        <f t="shared" ref="B55:F56" si="7">B56</f>
        <v>763.1</v>
      </c>
      <c r="C55" s="3"/>
      <c r="D55" s="3">
        <f t="shared" si="7"/>
        <v>563.1</v>
      </c>
      <c r="E55" s="642"/>
      <c r="F55" s="77">
        <f t="shared" si="7"/>
        <v>563.1</v>
      </c>
    </row>
    <row r="56" spans="1:6" s="55" customFormat="1" ht="16.5" hidden="1" thickBot="1" x14ac:dyDescent="0.3">
      <c r="A56" s="10" t="s">
        <v>67</v>
      </c>
      <c r="B56" s="3">
        <f t="shared" si="7"/>
        <v>763.1</v>
      </c>
      <c r="C56" s="3"/>
      <c r="D56" s="3">
        <f t="shared" si="7"/>
        <v>563.1</v>
      </c>
      <c r="E56" s="642"/>
      <c r="F56" s="77">
        <f t="shared" si="7"/>
        <v>563.1</v>
      </c>
    </row>
    <row r="57" spans="1:6" s="55" customFormat="1" ht="16.5" hidden="1" thickBot="1" x14ac:dyDescent="0.3">
      <c r="A57" s="338" t="s">
        <v>150</v>
      </c>
      <c r="B57" s="3">
        <f>пр.4!G247</f>
        <v>763.1</v>
      </c>
      <c r="C57" s="3"/>
      <c r="D57" s="3">
        <f>пр.4!H247</f>
        <v>563.1</v>
      </c>
      <c r="E57" s="642"/>
      <c r="F57" s="77">
        <f>пр.4!I247</f>
        <v>563.1</v>
      </c>
    </row>
    <row r="58" spans="1:6" s="55" customFormat="1" ht="16.5" hidden="1" thickBot="1" x14ac:dyDescent="0.3">
      <c r="A58" s="89" t="s">
        <v>240</v>
      </c>
      <c r="B58" s="3">
        <f>B59+B73+B69</f>
        <v>70096.708160000009</v>
      </c>
      <c r="C58" s="3"/>
      <c r="D58" s="3">
        <f>D59+D73+D69</f>
        <v>59563.876860000004</v>
      </c>
      <c r="E58" s="3"/>
      <c r="F58" s="3">
        <f>F59+F73+F69</f>
        <v>59334.954859999998</v>
      </c>
    </row>
    <row r="59" spans="1:6" s="55" customFormat="1" ht="16.5" hidden="1" thickBot="1" x14ac:dyDescent="0.3">
      <c r="A59" s="9" t="s">
        <v>335</v>
      </c>
      <c r="B59" s="3">
        <f>B60+B63+B66</f>
        <v>51062.708160000009</v>
      </c>
      <c r="C59" s="3"/>
      <c r="D59" s="3">
        <f>D60+D63+D66</f>
        <v>41544.876860000004</v>
      </c>
      <c r="E59" s="642"/>
      <c r="F59" s="77">
        <f>F60+F63+F66</f>
        <v>41315.954859999998</v>
      </c>
    </row>
    <row r="60" spans="1:6" s="55" customFormat="1" ht="26.25" hidden="1" thickBot="1" x14ac:dyDescent="0.3">
      <c r="A60" s="75" t="s">
        <v>27</v>
      </c>
      <c r="B60" s="3">
        <f t="shared" ref="B60:F61" si="8">B61</f>
        <v>33933.431000000004</v>
      </c>
      <c r="C60" s="3"/>
      <c r="D60" s="3">
        <f t="shared" si="8"/>
        <v>31536.808000000001</v>
      </c>
      <c r="E60" s="642"/>
      <c r="F60" s="77">
        <f t="shared" si="8"/>
        <v>31536.808000000001</v>
      </c>
    </row>
    <row r="61" spans="1:6" s="55" customFormat="1" ht="16.5" hidden="1" thickBot="1" x14ac:dyDescent="0.3">
      <c r="A61" s="10" t="s">
        <v>133</v>
      </c>
      <c r="B61" s="3">
        <f t="shared" si="8"/>
        <v>33933.431000000004</v>
      </c>
      <c r="C61" s="3"/>
      <c r="D61" s="3">
        <f t="shared" si="8"/>
        <v>31536.808000000001</v>
      </c>
      <c r="E61" s="642"/>
      <c r="F61" s="77">
        <f t="shared" si="8"/>
        <v>31536.808000000001</v>
      </c>
    </row>
    <row r="62" spans="1:6" s="55" customFormat="1" ht="16.5" hidden="1" thickBot="1" x14ac:dyDescent="0.3">
      <c r="A62" s="338" t="s">
        <v>45</v>
      </c>
      <c r="B62" s="3">
        <f>пр.4!G262</f>
        <v>33933.431000000004</v>
      </c>
      <c r="C62" s="3"/>
      <c r="D62" s="3">
        <f>пр.4!H262</f>
        <v>31536.808000000001</v>
      </c>
      <c r="E62" s="642"/>
      <c r="F62" s="77">
        <f>пр.4!I262</f>
        <v>31536.808000000001</v>
      </c>
    </row>
    <row r="63" spans="1:6" s="55" customFormat="1" ht="16.5" hidden="1" thickBot="1" x14ac:dyDescent="0.3">
      <c r="A63" s="75" t="s">
        <v>31</v>
      </c>
      <c r="B63" s="3">
        <f t="shared" ref="B63:F64" si="9">B64</f>
        <v>17075.277160000001</v>
      </c>
      <c r="C63" s="3"/>
      <c r="D63" s="3">
        <f t="shared" si="9"/>
        <v>9964.0688600000012</v>
      </c>
      <c r="E63" s="642"/>
      <c r="F63" s="77">
        <f t="shared" si="9"/>
        <v>9735.1468599999989</v>
      </c>
    </row>
    <row r="64" spans="1:6" s="55" customFormat="1" ht="16.5" hidden="1" thickBot="1" x14ac:dyDescent="0.3">
      <c r="A64" s="10" t="s">
        <v>67</v>
      </c>
      <c r="B64" s="3">
        <f t="shared" si="9"/>
        <v>17075.277160000001</v>
      </c>
      <c r="C64" s="3"/>
      <c r="D64" s="3">
        <f t="shared" si="9"/>
        <v>9964.0688600000012</v>
      </c>
      <c r="E64" s="642"/>
      <c r="F64" s="77">
        <f t="shared" si="9"/>
        <v>9735.1468599999989</v>
      </c>
    </row>
    <row r="65" spans="1:7" s="55" customFormat="1" ht="16.5" hidden="1" thickBot="1" x14ac:dyDescent="0.3">
      <c r="A65" s="338" t="s">
        <v>45</v>
      </c>
      <c r="B65" s="3">
        <f>пр.4!G264</f>
        <v>17075.277160000001</v>
      </c>
      <c r="C65" s="3"/>
      <c r="D65" s="3">
        <f>пр.4!H264</f>
        <v>9964.0688600000012</v>
      </c>
      <c r="E65" s="642"/>
      <c r="F65" s="77">
        <f>пр.4!I264</f>
        <v>9735.1468599999989</v>
      </c>
    </row>
    <row r="66" spans="1:7" s="55" customFormat="1" ht="16.5" hidden="1" thickBot="1" x14ac:dyDescent="0.3">
      <c r="A66" s="75" t="s">
        <v>33</v>
      </c>
      <c r="B66" s="3">
        <f t="shared" ref="B66:F67" si="10">B67</f>
        <v>54</v>
      </c>
      <c r="C66" s="3"/>
      <c r="D66" s="3">
        <f t="shared" si="10"/>
        <v>44</v>
      </c>
      <c r="E66" s="642"/>
      <c r="F66" s="77">
        <f t="shared" si="10"/>
        <v>44</v>
      </c>
    </row>
    <row r="67" spans="1:7" s="55" customFormat="1" ht="16.5" hidden="1" thickBot="1" x14ac:dyDescent="0.3">
      <c r="A67" s="10" t="s">
        <v>76</v>
      </c>
      <c r="B67" s="3">
        <f t="shared" si="10"/>
        <v>54</v>
      </c>
      <c r="C67" s="3"/>
      <c r="D67" s="3">
        <f t="shared" si="10"/>
        <v>44</v>
      </c>
      <c r="E67" s="642"/>
      <c r="F67" s="77">
        <f t="shared" si="10"/>
        <v>44</v>
      </c>
    </row>
    <row r="68" spans="1:7" s="55" customFormat="1" ht="16.5" hidden="1" thickBot="1" x14ac:dyDescent="0.3">
      <c r="A68" s="338" t="s">
        <v>45</v>
      </c>
      <c r="B68" s="3">
        <f>пр.4!G266</f>
        <v>54</v>
      </c>
      <c r="C68" s="3"/>
      <c r="D68" s="3">
        <f>пр.4!H266</f>
        <v>44</v>
      </c>
      <c r="E68" s="642"/>
      <c r="F68" s="77">
        <f>пр.4!I266</f>
        <v>44</v>
      </c>
    </row>
    <row r="69" spans="1:7" s="55" customFormat="1" ht="16.5" hidden="1" thickBot="1" x14ac:dyDescent="0.3">
      <c r="A69" s="75" t="s">
        <v>47</v>
      </c>
      <c r="B69" s="3">
        <f t="shared" ref="B69:F71" si="11">B70</f>
        <v>6088.2000000000007</v>
      </c>
      <c r="C69" s="3"/>
      <c r="D69" s="3">
        <f t="shared" si="11"/>
        <v>5073.2000000000007</v>
      </c>
      <c r="E69" s="642"/>
      <c r="F69" s="77">
        <f t="shared" si="11"/>
        <v>5073.2000000000007</v>
      </c>
    </row>
    <row r="70" spans="1:7" s="55" customFormat="1" ht="16.5" hidden="1" thickBot="1" x14ac:dyDescent="0.3">
      <c r="A70" s="75" t="s">
        <v>31</v>
      </c>
      <c r="B70" s="3">
        <f t="shared" si="11"/>
        <v>6088.2000000000007</v>
      </c>
      <c r="C70" s="3"/>
      <c r="D70" s="3">
        <f t="shared" si="11"/>
        <v>5073.2000000000007</v>
      </c>
      <c r="E70" s="642"/>
      <c r="F70" s="77">
        <f t="shared" si="11"/>
        <v>5073.2000000000007</v>
      </c>
    </row>
    <row r="71" spans="1:7" s="55" customFormat="1" ht="16.5" hidden="1" thickBot="1" x14ac:dyDescent="0.3">
      <c r="A71" s="10" t="s">
        <v>67</v>
      </c>
      <c r="B71" s="3">
        <f t="shared" si="11"/>
        <v>6088.2000000000007</v>
      </c>
      <c r="C71" s="3"/>
      <c r="D71" s="3">
        <f t="shared" si="11"/>
        <v>5073.2000000000007</v>
      </c>
      <c r="E71" s="642"/>
      <c r="F71" s="77">
        <f t="shared" si="11"/>
        <v>5073.2000000000007</v>
      </c>
    </row>
    <row r="72" spans="1:7" s="55" customFormat="1" ht="16.5" hidden="1" thickBot="1" x14ac:dyDescent="0.3">
      <c r="A72" s="338" t="s">
        <v>45</v>
      </c>
      <c r="B72" s="3">
        <f>пр.4!G269</f>
        <v>6088.2000000000007</v>
      </c>
      <c r="C72" s="3"/>
      <c r="D72" s="3">
        <f>пр.4!H269</f>
        <v>5073.2000000000007</v>
      </c>
      <c r="E72" s="642"/>
      <c r="F72" s="77">
        <f>пр.4!I269</f>
        <v>5073.2000000000007</v>
      </c>
    </row>
    <row r="73" spans="1:7" s="55" customFormat="1" ht="39" hidden="1" thickBot="1" x14ac:dyDescent="0.3">
      <c r="A73" s="75" t="s">
        <v>430</v>
      </c>
      <c r="B73" s="3">
        <f t="shared" ref="B73:F75" si="12">B74</f>
        <v>12945.800000000001</v>
      </c>
      <c r="C73" s="3"/>
      <c r="D73" s="3">
        <f t="shared" si="12"/>
        <v>12945.800000000001</v>
      </c>
      <c r="E73" s="642"/>
      <c r="F73" s="77">
        <f t="shared" si="12"/>
        <v>12945.800000000001</v>
      </c>
    </row>
    <row r="74" spans="1:7" s="55" customFormat="1" ht="26.25" hidden="1" thickBot="1" x14ac:dyDescent="0.3">
      <c r="A74" s="75" t="s">
        <v>27</v>
      </c>
      <c r="B74" s="3">
        <f t="shared" si="12"/>
        <v>12945.800000000001</v>
      </c>
      <c r="C74" s="3"/>
      <c r="D74" s="3">
        <f t="shared" si="12"/>
        <v>12945.800000000001</v>
      </c>
      <c r="E74" s="642"/>
      <c r="F74" s="77">
        <f t="shared" si="12"/>
        <v>12945.800000000001</v>
      </c>
    </row>
    <row r="75" spans="1:7" s="55" customFormat="1" ht="16.5" hidden="1" thickBot="1" x14ac:dyDescent="0.3">
      <c r="A75" s="10" t="s">
        <v>133</v>
      </c>
      <c r="B75" s="3">
        <f t="shared" si="12"/>
        <v>12945.800000000001</v>
      </c>
      <c r="C75" s="3"/>
      <c r="D75" s="3">
        <f t="shared" si="12"/>
        <v>12945.800000000001</v>
      </c>
      <c r="E75" s="642"/>
      <c r="F75" s="77">
        <f t="shared" si="12"/>
        <v>12945.800000000001</v>
      </c>
    </row>
    <row r="76" spans="1:7" s="55" customFormat="1" ht="16.5" hidden="1" thickBot="1" x14ac:dyDescent="0.3">
      <c r="A76" s="338" t="s">
        <v>45</v>
      </c>
      <c r="B76" s="3">
        <f>пр.4!G272</f>
        <v>12945.800000000001</v>
      </c>
      <c r="C76" s="3"/>
      <c r="D76" s="3">
        <f>пр.4!H272</f>
        <v>12945.800000000001</v>
      </c>
      <c r="E76" s="642"/>
      <c r="F76" s="77">
        <f>пр.4!I272</f>
        <v>12945.800000000001</v>
      </c>
    </row>
    <row r="77" spans="1:7" s="55" customFormat="1" ht="26.25" thickBot="1" x14ac:dyDescent="0.3">
      <c r="A77" s="516" t="s">
        <v>373</v>
      </c>
      <c r="B77" s="517">
        <f>B78</f>
        <v>12370</v>
      </c>
      <c r="C77" s="673">
        <f>B77/B313</f>
        <v>3.0057814338018071E-2</v>
      </c>
      <c r="D77" s="517">
        <f>D78</f>
        <v>1246</v>
      </c>
      <c r="E77" s="673">
        <f>D77/D313</f>
        <v>5.9495631903905295E-3</v>
      </c>
      <c r="F77" s="518">
        <f>F78</f>
        <v>1246</v>
      </c>
      <c r="G77" s="673">
        <f>F77/F313</f>
        <v>6.0077302189898386E-3</v>
      </c>
    </row>
    <row r="78" spans="1:7" s="55" customFormat="1" ht="16.5" hidden="1" thickBot="1" x14ac:dyDescent="0.3">
      <c r="A78" s="185" t="s">
        <v>232</v>
      </c>
      <c r="B78" s="110">
        <f>B79+B84+B89</f>
        <v>12370</v>
      </c>
      <c r="C78" s="110"/>
      <c r="D78" s="110">
        <f>D79+D84+D89</f>
        <v>1246</v>
      </c>
      <c r="E78" s="645"/>
      <c r="F78" s="111">
        <f>F79+F84+F89</f>
        <v>1246</v>
      </c>
    </row>
    <row r="79" spans="1:7" s="55" customFormat="1" ht="26.25" hidden="1" thickBot="1" x14ac:dyDescent="0.3">
      <c r="A79" s="89" t="s">
        <v>246</v>
      </c>
      <c r="B79" s="73">
        <f>B80</f>
        <v>3200</v>
      </c>
      <c r="C79" s="73"/>
      <c r="D79" s="73">
        <f>D80</f>
        <v>786</v>
      </c>
      <c r="E79" s="641"/>
      <c r="F79" s="74">
        <f>F80</f>
        <v>786</v>
      </c>
    </row>
    <row r="80" spans="1:7" s="55" customFormat="1" ht="26.25" hidden="1" thickBot="1" x14ac:dyDescent="0.3">
      <c r="A80" s="9" t="s">
        <v>414</v>
      </c>
      <c r="B80" s="3">
        <f>B82</f>
        <v>3200</v>
      </c>
      <c r="C80" s="3"/>
      <c r="D80" s="3">
        <f>D82</f>
        <v>786</v>
      </c>
      <c r="E80" s="642"/>
      <c r="F80" s="77">
        <f>F82</f>
        <v>786</v>
      </c>
    </row>
    <row r="81" spans="1:7" s="55" customFormat="1" ht="16.5" hidden="1" thickBot="1" x14ac:dyDescent="0.3">
      <c r="A81" s="75" t="s">
        <v>31</v>
      </c>
      <c r="B81" s="3">
        <f t="shared" ref="B81:F82" si="13">B82</f>
        <v>3200</v>
      </c>
      <c r="C81" s="3"/>
      <c r="D81" s="3">
        <f t="shared" si="13"/>
        <v>786</v>
      </c>
      <c r="E81" s="642"/>
      <c r="F81" s="77">
        <f t="shared" si="13"/>
        <v>786</v>
      </c>
    </row>
    <row r="82" spans="1:7" s="55" customFormat="1" ht="16.5" hidden="1" thickBot="1" x14ac:dyDescent="0.3">
      <c r="A82" s="10" t="s">
        <v>67</v>
      </c>
      <c r="B82" s="3">
        <f t="shared" si="13"/>
        <v>3200</v>
      </c>
      <c r="C82" s="3"/>
      <c r="D82" s="3">
        <f t="shared" si="13"/>
        <v>786</v>
      </c>
      <c r="E82" s="642"/>
      <c r="F82" s="77">
        <f t="shared" si="13"/>
        <v>786</v>
      </c>
    </row>
    <row r="83" spans="1:7" s="55" customFormat="1" ht="15" hidden="1" customHeight="1" thickBot="1" x14ac:dyDescent="0.3">
      <c r="A83" s="10" t="s">
        <v>295</v>
      </c>
      <c r="B83" s="3">
        <f>пр.4!G93</f>
        <v>3200</v>
      </c>
      <c r="C83" s="3"/>
      <c r="D83" s="3">
        <f>пр.4!H93</f>
        <v>786</v>
      </c>
      <c r="E83" s="642"/>
      <c r="F83" s="77">
        <f>пр.4!I93</f>
        <v>786</v>
      </c>
    </row>
    <row r="84" spans="1:7" s="55" customFormat="1" ht="15" hidden="1" customHeight="1" thickBot="1" x14ac:dyDescent="0.3">
      <c r="A84" s="89" t="s">
        <v>418</v>
      </c>
      <c r="B84" s="73">
        <f t="shared" ref="B84:F87" si="14">B85</f>
        <v>2570</v>
      </c>
      <c r="C84" s="73"/>
      <c r="D84" s="73">
        <f t="shared" si="14"/>
        <v>460</v>
      </c>
      <c r="E84" s="641"/>
      <c r="F84" s="74">
        <f t="shared" si="14"/>
        <v>460</v>
      </c>
    </row>
    <row r="85" spans="1:7" s="55" customFormat="1" ht="16.5" hidden="1" thickBot="1" x14ac:dyDescent="0.3">
      <c r="A85" s="9" t="s">
        <v>50</v>
      </c>
      <c r="B85" s="3">
        <f t="shared" si="14"/>
        <v>2570</v>
      </c>
      <c r="C85" s="3"/>
      <c r="D85" s="3">
        <f t="shared" si="14"/>
        <v>460</v>
      </c>
      <c r="E85" s="642"/>
      <c r="F85" s="77">
        <f t="shared" si="14"/>
        <v>460</v>
      </c>
    </row>
    <row r="86" spans="1:7" s="55" customFormat="1" ht="16.5" hidden="1" thickBot="1" x14ac:dyDescent="0.3">
      <c r="A86" s="86" t="s">
        <v>31</v>
      </c>
      <c r="B86" s="3">
        <f t="shared" si="14"/>
        <v>2570</v>
      </c>
      <c r="C86" s="3"/>
      <c r="D86" s="3">
        <f t="shared" si="14"/>
        <v>460</v>
      </c>
      <c r="E86" s="642"/>
      <c r="F86" s="77">
        <f t="shared" si="14"/>
        <v>460</v>
      </c>
    </row>
    <row r="87" spans="1:7" s="55" customFormat="1" ht="16.5" hidden="1" thickBot="1" x14ac:dyDescent="0.3">
      <c r="A87" s="10" t="s">
        <v>67</v>
      </c>
      <c r="B87" s="3">
        <f t="shared" si="14"/>
        <v>2570</v>
      </c>
      <c r="C87" s="3"/>
      <c r="D87" s="3">
        <f t="shared" si="14"/>
        <v>460</v>
      </c>
      <c r="E87" s="642"/>
      <c r="F87" s="77">
        <f t="shared" si="14"/>
        <v>460</v>
      </c>
    </row>
    <row r="88" spans="1:7" s="55" customFormat="1" ht="15.75" hidden="1" customHeight="1" thickBot="1" x14ac:dyDescent="0.3">
      <c r="A88" s="10" t="s">
        <v>295</v>
      </c>
      <c r="B88" s="3">
        <f>пр.4!G97</f>
        <v>2570</v>
      </c>
      <c r="C88" s="3"/>
      <c r="D88" s="3">
        <f>пр.4!H97</f>
        <v>460</v>
      </c>
      <c r="E88" s="642"/>
      <c r="F88" s="77">
        <f>пр.4!I97</f>
        <v>460</v>
      </c>
    </row>
    <row r="89" spans="1:7" s="55" customFormat="1" ht="26.25" hidden="1" thickBot="1" x14ac:dyDescent="0.3">
      <c r="A89" s="312" t="s">
        <v>350</v>
      </c>
      <c r="B89" s="73">
        <f>B90</f>
        <v>6600</v>
      </c>
      <c r="C89" s="73"/>
      <c r="D89" s="73">
        <f t="shared" ref="D89:F92" si="15">D90</f>
        <v>0</v>
      </c>
      <c r="E89" s="641"/>
      <c r="F89" s="74">
        <f t="shared" si="15"/>
        <v>0</v>
      </c>
    </row>
    <row r="90" spans="1:7" s="55" customFormat="1" ht="26.25" hidden="1" thickBot="1" x14ac:dyDescent="0.3">
      <c r="A90" s="116" t="s">
        <v>352</v>
      </c>
      <c r="B90" s="3">
        <f>B91</f>
        <v>6600</v>
      </c>
      <c r="C90" s="3"/>
      <c r="D90" s="3">
        <f t="shared" si="15"/>
        <v>0</v>
      </c>
      <c r="E90" s="642"/>
      <c r="F90" s="77">
        <f t="shared" si="15"/>
        <v>0</v>
      </c>
    </row>
    <row r="91" spans="1:7" s="55" customFormat="1" ht="16.5" hidden="1" thickBot="1" x14ac:dyDescent="0.3">
      <c r="A91" s="116" t="s">
        <v>65</v>
      </c>
      <c r="B91" s="3">
        <f>B92</f>
        <v>6600</v>
      </c>
      <c r="C91" s="3"/>
      <c r="D91" s="3">
        <f t="shared" si="15"/>
        <v>0</v>
      </c>
      <c r="E91" s="642"/>
      <c r="F91" s="77">
        <f t="shared" si="15"/>
        <v>0</v>
      </c>
    </row>
    <row r="92" spans="1:7" s="55" customFormat="1" ht="16.5" hidden="1" thickBot="1" x14ac:dyDescent="0.3">
      <c r="A92" s="117" t="s">
        <v>67</v>
      </c>
      <c r="B92" s="3">
        <f>B93</f>
        <v>6600</v>
      </c>
      <c r="C92" s="3"/>
      <c r="D92" s="3">
        <f t="shared" si="15"/>
        <v>0</v>
      </c>
      <c r="E92" s="642"/>
      <c r="F92" s="77">
        <f t="shared" si="15"/>
        <v>0</v>
      </c>
    </row>
    <row r="93" spans="1:7" s="55" customFormat="1" ht="16.5" hidden="1" thickBot="1" x14ac:dyDescent="0.3">
      <c r="A93" s="118" t="s">
        <v>144</v>
      </c>
      <c r="B93" s="93">
        <f>пр.4!G112</f>
        <v>6600</v>
      </c>
      <c r="C93" s="93"/>
      <c r="D93" s="93">
        <f>пр.4!H112</f>
        <v>0</v>
      </c>
      <c r="E93" s="646"/>
      <c r="F93" s="94">
        <f>пр.4!I112</f>
        <v>0</v>
      </c>
    </row>
    <row r="94" spans="1:7" s="55" customFormat="1" ht="26.25" thickBot="1" x14ac:dyDescent="0.3">
      <c r="A94" s="520" t="s">
        <v>375</v>
      </c>
      <c r="B94" s="517">
        <f>B95+B118</f>
        <v>81930.614150000009</v>
      </c>
      <c r="C94" s="673">
        <f>B94/B313</f>
        <v>0.1990828770186335</v>
      </c>
      <c r="D94" s="517">
        <f>D95+D118</f>
        <v>24206.614000000001</v>
      </c>
      <c r="E94" s="673">
        <f>D94/D313</f>
        <v>0.11558489535986523</v>
      </c>
      <c r="F94" s="518">
        <f>F95+F118</f>
        <v>24238.805</v>
      </c>
      <c r="G94" s="673">
        <f>F94/F313</f>
        <v>0.11687014548210432</v>
      </c>
    </row>
    <row r="95" spans="1:7" s="55" customFormat="1" ht="16.5" hidden="1" thickBot="1" x14ac:dyDescent="0.3">
      <c r="A95" s="314" t="s">
        <v>232</v>
      </c>
      <c r="B95" s="110">
        <f>B96+B113</f>
        <v>81930.614150000009</v>
      </c>
      <c r="C95" s="110"/>
      <c r="D95" s="110">
        <f>D96+D113</f>
        <v>18535.092260000001</v>
      </c>
      <c r="E95" s="645"/>
      <c r="F95" s="111">
        <f>F96+F113</f>
        <v>18608.585210000001</v>
      </c>
    </row>
    <row r="96" spans="1:7" s="55" customFormat="1" ht="39" hidden="1" thickBot="1" x14ac:dyDescent="0.3">
      <c r="A96" s="302" t="s">
        <v>252</v>
      </c>
      <c r="B96" s="73">
        <f>B97+B101+B109+B105</f>
        <v>78930.614150000009</v>
      </c>
      <c r="C96" s="73"/>
      <c r="D96" s="73">
        <f>D97+D101+D109+D105</f>
        <v>18035.092260000001</v>
      </c>
      <c r="E96" s="641"/>
      <c r="F96" s="74">
        <f>F97+F101+F109+F105</f>
        <v>18108.585210000001</v>
      </c>
    </row>
    <row r="97" spans="1:6" s="55" customFormat="1" ht="16.5" hidden="1" thickBot="1" x14ac:dyDescent="0.3">
      <c r="A97" s="124" t="s">
        <v>52</v>
      </c>
      <c r="B97" s="3">
        <f>B99</f>
        <v>19601.2</v>
      </c>
      <c r="C97" s="3"/>
      <c r="D97" s="3">
        <f>D99</f>
        <v>15554</v>
      </c>
      <c r="E97" s="642"/>
      <c r="F97" s="77">
        <f>F99</f>
        <v>15554</v>
      </c>
    </row>
    <row r="98" spans="1:6" s="55" customFormat="1" ht="16.5" hidden="1" thickBot="1" x14ac:dyDescent="0.3">
      <c r="A98" s="127" t="s">
        <v>31</v>
      </c>
      <c r="B98" s="3">
        <f t="shared" ref="B98:F99" si="16">B99</f>
        <v>19601.2</v>
      </c>
      <c r="C98" s="3"/>
      <c r="D98" s="3">
        <f t="shared" si="16"/>
        <v>15554</v>
      </c>
      <c r="E98" s="642"/>
      <c r="F98" s="77">
        <f t="shared" si="16"/>
        <v>15554</v>
      </c>
    </row>
    <row r="99" spans="1:6" s="55" customFormat="1" ht="16.5" hidden="1" thickBot="1" x14ac:dyDescent="0.3">
      <c r="A99" s="128" t="s">
        <v>67</v>
      </c>
      <c r="B99" s="3">
        <f t="shared" si="16"/>
        <v>19601.2</v>
      </c>
      <c r="C99" s="3"/>
      <c r="D99" s="3">
        <f t="shared" si="16"/>
        <v>15554</v>
      </c>
      <c r="E99" s="642"/>
      <c r="F99" s="77">
        <f t="shared" si="16"/>
        <v>15554</v>
      </c>
    </row>
    <row r="100" spans="1:6" s="55" customFormat="1" ht="16.5" hidden="1" thickBot="1" x14ac:dyDescent="0.3">
      <c r="A100" s="343" t="s">
        <v>53</v>
      </c>
      <c r="B100" s="3">
        <f>пр.4!G138</f>
        <v>19601.2</v>
      </c>
      <c r="C100" s="3"/>
      <c r="D100" s="3">
        <f>пр.4!H138</f>
        <v>15554</v>
      </c>
      <c r="E100" s="642"/>
      <c r="F100" s="77">
        <f>пр.4!I138</f>
        <v>15554</v>
      </c>
    </row>
    <row r="101" spans="1:6" s="55" customFormat="1" ht="15.75" hidden="1" customHeight="1" thickBot="1" x14ac:dyDescent="0.3">
      <c r="A101" s="9" t="s">
        <v>256</v>
      </c>
      <c r="B101" s="3">
        <f>B102</f>
        <v>22050.68965</v>
      </c>
      <c r="C101" s="3"/>
      <c r="D101" s="3">
        <f>D102</f>
        <v>0</v>
      </c>
      <c r="E101" s="3"/>
      <c r="F101" s="3">
        <f>F102</f>
        <v>0</v>
      </c>
    </row>
    <row r="102" spans="1:6" s="55" customFormat="1" ht="16.5" hidden="1" thickBot="1" x14ac:dyDescent="0.3">
      <c r="A102" s="127" t="s">
        <v>31</v>
      </c>
      <c r="B102" s="3">
        <f t="shared" ref="B102:F103" si="17">B103</f>
        <v>22050.68965</v>
      </c>
      <c r="C102" s="3"/>
      <c r="D102" s="3">
        <f t="shared" si="17"/>
        <v>0</v>
      </c>
      <c r="E102" s="642"/>
      <c r="F102" s="77">
        <f t="shared" si="17"/>
        <v>0</v>
      </c>
    </row>
    <row r="103" spans="1:6" s="55" customFormat="1" ht="15.75" hidden="1" customHeight="1" thickBot="1" x14ac:dyDescent="0.3">
      <c r="A103" s="128" t="s">
        <v>67</v>
      </c>
      <c r="B103" s="3">
        <f t="shared" si="17"/>
        <v>22050.68965</v>
      </c>
      <c r="C103" s="3"/>
      <c r="D103" s="3">
        <f t="shared" si="17"/>
        <v>0</v>
      </c>
      <c r="E103" s="642"/>
      <c r="F103" s="77">
        <f t="shared" si="17"/>
        <v>0</v>
      </c>
    </row>
    <row r="104" spans="1:6" s="55" customFormat="1" ht="16.5" hidden="1" thickBot="1" x14ac:dyDescent="0.3">
      <c r="A104" s="343" t="s">
        <v>53</v>
      </c>
      <c r="B104" s="3">
        <f>пр.4!G141</f>
        <v>22050.68965</v>
      </c>
      <c r="C104" s="3"/>
      <c r="D104" s="3">
        <f>пр.4!H141</f>
        <v>0</v>
      </c>
      <c r="E104" s="642"/>
      <c r="F104" s="77">
        <f>пр.4!I141</f>
        <v>0</v>
      </c>
    </row>
    <row r="105" spans="1:6" s="55" customFormat="1" ht="26.25" hidden="1" thickBot="1" x14ac:dyDescent="0.3">
      <c r="A105" s="127" t="s">
        <v>411</v>
      </c>
      <c r="B105" s="3">
        <f>B106</f>
        <v>2820.3484100000001</v>
      </c>
      <c r="C105" s="3"/>
      <c r="D105" s="3">
        <f t="shared" ref="D105:F107" si="18">D106</f>
        <v>2481.0922599999999</v>
      </c>
      <c r="E105" s="642"/>
      <c r="F105" s="77">
        <f t="shared" si="18"/>
        <v>2554.5852100000002</v>
      </c>
    </row>
    <row r="106" spans="1:6" s="55" customFormat="1" ht="16.5" hidden="1" thickBot="1" x14ac:dyDescent="0.3">
      <c r="A106" s="127" t="s">
        <v>31</v>
      </c>
      <c r="B106" s="3">
        <f>B107</f>
        <v>2820.3484100000001</v>
      </c>
      <c r="C106" s="3"/>
      <c r="D106" s="3">
        <f t="shared" si="18"/>
        <v>2481.0922599999999</v>
      </c>
      <c r="E106" s="642"/>
      <c r="F106" s="77">
        <f t="shared" si="18"/>
        <v>2554.5852100000002</v>
      </c>
    </row>
    <row r="107" spans="1:6" s="55" customFormat="1" ht="16.5" hidden="1" thickBot="1" x14ac:dyDescent="0.3">
      <c r="A107" s="128" t="s">
        <v>67</v>
      </c>
      <c r="B107" s="3">
        <f>B108</f>
        <v>2820.3484100000001</v>
      </c>
      <c r="C107" s="3"/>
      <c r="D107" s="3">
        <f t="shared" si="18"/>
        <v>2481.0922599999999</v>
      </c>
      <c r="E107" s="642"/>
      <c r="F107" s="77">
        <f t="shared" si="18"/>
        <v>2554.5852100000002</v>
      </c>
    </row>
    <row r="108" spans="1:6" s="55" customFormat="1" ht="16.5" hidden="1" thickBot="1" x14ac:dyDescent="0.3">
      <c r="A108" s="343" t="s">
        <v>53</v>
      </c>
      <c r="B108" s="3">
        <f>пр.4!G147</f>
        <v>2820.3484100000001</v>
      </c>
      <c r="C108" s="3"/>
      <c r="D108" s="3">
        <f>пр.4!H147</f>
        <v>2481.0922599999999</v>
      </c>
      <c r="E108" s="642"/>
      <c r="F108" s="77">
        <f>пр.4!I147</f>
        <v>2554.5852100000002</v>
      </c>
    </row>
    <row r="109" spans="1:6" s="55" customFormat="1" ht="26.25" hidden="1" thickBot="1" x14ac:dyDescent="0.3">
      <c r="A109" s="86" t="s">
        <v>303</v>
      </c>
      <c r="B109" s="3">
        <f t="shared" ref="B109:F111" si="19">B110</f>
        <v>34458.376090000005</v>
      </c>
      <c r="C109" s="3"/>
      <c r="D109" s="3">
        <f t="shared" si="19"/>
        <v>0</v>
      </c>
      <c r="E109" s="642"/>
      <c r="F109" s="77">
        <f t="shared" si="19"/>
        <v>0</v>
      </c>
    </row>
    <row r="110" spans="1:6" s="55" customFormat="1" ht="16.5" hidden="1" thickBot="1" x14ac:dyDescent="0.3">
      <c r="A110" s="127" t="s">
        <v>31</v>
      </c>
      <c r="B110" s="3">
        <f t="shared" si="19"/>
        <v>34458.376090000005</v>
      </c>
      <c r="C110" s="3"/>
      <c r="D110" s="3">
        <f t="shared" si="19"/>
        <v>0</v>
      </c>
      <c r="E110" s="642"/>
      <c r="F110" s="77">
        <f t="shared" si="19"/>
        <v>0</v>
      </c>
    </row>
    <row r="111" spans="1:6" s="55" customFormat="1" ht="16.5" hidden="1" thickBot="1" x14ac:dyDescent="0.3">
      <c r="A111" s="128" t="s">
        <v>67</v>
      </c>
      <c r="B111" s="3">
        <f t="shared" si="19"/>
        <v>34458.376090000005</v>
      </c>
      <c r="C111" s="3"/>
      <c r="D111" s="3">
        <f t="shared" si="19"/>
        <v>0</v>
      </c>
      <c r="E111" s="642"/>
      <c r="F111" s="77">
        <f t="shared" si="19"/>
        <v>0</v>
      </c>
    </row>
    <row r="112" spans="1:6" s="55" customFormat="1" ht="16.5" hidden="1" thickBot="1" x14ac:dyDescent="0.3">
      <c r="A112" s="343" t="s">
        <v>53</v>
      </c>
      <c r="B112" s="3">
        <f>пр.4!G144</f>
        <v>34458.376090000005</v>
      </c>
      <c r="C112" s="3"/>
      <c r="D112" s="3">
        <f>пр.4!H144</f>
        <v>0</v>
      </c>
      <c r="E112" s="642"/>
      <c r="F112" s="77">
        <f>пр.4!I144</f>
        <v>0</v>
      </c>
    </row>
    <row r="113" spans="1:7" s="55" customFormat="1" ht="16.5" hidden="1" thickBot="1" x14ac:dyDescent="0.3">
      <c r="A113" s="102" t="s">
        <v>286</v>
      </c>
      <c r="B113" s="73">
        <f>B114</f>
        <v>3000</v>
      </c>
      <c r="C113" s="73"/>
      <c r="D113" s="73">
        <f>D114</f>
        <v>500</v>
      </c>
      <c r="E113" s="641"/>
      <c r="F113" s="74">
        <f>F114</f>
        <v>500</v>
      </c>
    </row>
    <row r="114" spans="1:7" s="55" customFormat="1" ht="16.5" hidden="1" thickBot="1" x14ac:dyDescent="0.3">
      <c r="A114" s="86" t="s">
        <v>289</v>
      </c>
      <c r="B114" s="3">
        <f>B116</f>
        <v>3000</v>
      </c>
      <c r="C114" s="3"/>
      <c r="D114" s="3">
        <f>D116</f>
        <v>500</v>
      </c>
      <c r="E114" s="642"/>
      <c r="F114" s="77">
        <f>F116</f>
        <v>500</v>
      </c>
    </row>
    <row r="115" spans="1:7" s="55" customFormat="1" ht="16.5" hidden="1" thickBot="1" x14ac:dyDescent="0.3">
      <c r="A115" s="9" t="s">
        <v>31</v>
      </c>
      <c r="B115" s="3">
        <f>B114</f>
        <v>3000</v>
      </c>
      <c r="C115" s="3"/>
      <c r="D115" s="3">
        <f>D114</f>
        <v>500</v>
      </c>
      <c r="E115" s="642"/>
      <c r="F115" s="77">
        <f>F114</f>
        <v>500</v>
      </c>
    </row>
    <row r="116" spans="1:7" s="55" customFormat="1" ht="16.5" hidden="1" thickBot="1" x14ac:dyDescent="0.3">
      <c r="A116" s="10" t="s">
        <v>67</v>
      </c>
      <c r="B116" s="3">
        <f>B117</f>
        <v>3000</v>
      </c>
      <c r="C116" s="3"/>
      <c r="D116" s="3">
        <f>D117</f>
        <v>500</v>
      </c>
      <c r="E116" s="642"/>
      <c r="F116" s="77">
        <f>F117</f>
        <v>500</v>
      </c>
    </row>
    <row r="117" spans="1:7" s="55" customFormat="1" ht="16.5" hidden="1" thickBot="1" x14ac:dyDescent="0.3">
      <c r="A117" s="345" t="s">
        <v>53</v>
      </c>
      <c r="B117" s="3">
        <f>пр.4!G151</f>
        <v>3000</v>
      </c>
      <c r="C117" s="3"/>
      <c r="D117" s="3">
        <f>пр.4!H151</f>
        <v>500</v>
      </c>
      <c r="E117" s="642"/>
      <c r="F117" s="77">
        <f>пр.4!I151</f>
        <v>500</v>
      </c>
    </row>
    <row r="118" spans="1:7" s="55" customFormat="1" ht="16.5" hidden="1" thickBot="1" x14ac:dyDescent="0.3">
      <c r="A118" s="12" t="s">
        <v>410</v>
      </c>
      <c r="B118" s="73">
        <f>SUM(B119)</f>
        <v>0</v>
      </c>
      <c r="C118" s="73"/>
      <c r="D118" s="73">
        <f>SUM(D119)</f>
        <v>5671.5217400000001</v>
      </c>
      <c r="E118" s="641"/>
      <c r="F118" s="74">
        <f>SUM(F119)</f>
        <v>5630.2197900000001</v>
      </c>
    </row>
    <row r="119" spans="1:7" s="55" customFormat="1" ht="16.5" hidden="1" thickBot="1" x14ac:dyDescent="0.3">
      <c r="A119" s="9" t="s">
        <v>389</v>
      </c>
      <c r="B119" s="3">
        <f>B121</f>
        <v>0</v>
      </c>
      <c r="C119" s="3"/>
      <c r="D119" s="3">
        <f>D121</f>
        <v>5671.5217400000001</v>
      </c>
      <c r="E119" s="642"/>
      <c r="F119" s="77">
        <f>F121</f>
        <v>5630.2197900000001</v>
      </c>
    </row>
    <row r="120" spans="1:7" s="55" customFormat="1" ht="16.5" hidden="1" thickBot="1" x14ac:dyDescent="0.3">
      <c r="A120" s="9" t="s">
        <v>508</v>
      </c>
      <c r="B120" s="3">
        <f t="shared" ref="B120:F121" si="20">B121</f>
        <v>0</v>
      </c>
      <c r="C120" s="3"/>
      <c r="D120" s="3">
        <f t="shared" si="20"/>
        <v>5671.5217400000001</v>
      </c>
      <c r="E120" s="642"/>
      <c r="F120" s="77">
        <f t="shared" si="20"/>
        <v>5630.2197900000001</v>
      </c>
    </row>
    <row r="121" spans="1:7" s="55" customFormat="1" ht="16.5" hidden="1" thickBot="1" x14ac:dyDescent="0.3">
      <c r="A121" s="9" t="s">
        <v>31</v>
      </c>
      <c r="B121" s="3">
        <f t="shared" si="20"/>
        <v>0</v>
      </c>
      <c r="C121" s="3"/>
      <c r="D121" s="3">
        <f t="shared" si="20"/>
        <v>5671.5217400000001</v>
      </c>
      <c r="E121" s="642"/>
      <c r="F121" s="77">
        <f t="shared" si="20"/>
        <v>5630.2197900000001</v>
      </c>
    </row>
    <row r="122" spans="1:7" s="55" customFormat="1" ht="16.5" hidden="1" thickBot="1" x14ac:dyDescent="0.3">
      <c r="A122" s="10" t="s">
        <v>67</v>
      </c>
      <c r="B122" s="3">
        <v>0</v>
      </c>
      <c r="C122" s="3"/>
      <c r="D122" s="3">
        <f>D123</f>
        <v>5671.5217400000001</v>
      </c>
      <c r="E122" s="642"/>
      <c r="F122" s="77">
        <f>F123</f>
        <v>5630.2197900000001</v>
      </c>
    </row>
    <row r="123" spans="1:7" s="55" customFormat="1" ht="16.5" hidden="1" thickBot="1" x14ac:dyDescent="0.3">
      <c r="A123" s="344" t="s">
        <v>53</v>
      </c>
      <c r="B123" s="164">
        <f>пр.4!G156</f>
        <v>0</v>
      </c>
      <c r="C123" s="164"/>
      <c r="D123" s="164">
        <f>пр.4!H156</f>
        <v>5671.5217400000001</v>
      </c>
      <c r="E123" s="647"/>
      <c r="F123" s="165">
        <f>пр.4!I156</f>
        <v>5630.2197900000001</v>
      </c>
    </row>
    <row r="124" spans="1:7" s="55" customFormat="1" ht="26.25" thickBot="1" x14ac:dyDescent="0.3">
      <c r="A124" s="516" t="s">
        <v>376</v>
      </c>
      <c r="B124" s="517">
        <f>SUM(B125)</f>
        <v>500</v>
      </c>
      <c r="C124" s="673">
        <f>B124/B313</f>
        <v>1.2149480330645947E-3</v>
      </c>
      <c r="D124" s="517">
        <f>SUM(D125)</f>
        <v>394.01600000000002</v>
      </c>
      <c r="E124" s="673">
        <f>D124/D313</f>
        <v>1.88139894865563E-3</v>
      </c>
      <c r="F124" s="518">
        <f>SUM(F125)</f>
        <v>394.01600000000002</v>
      </c>
      <c r="G124" s="673">
        <f>F124/F313</f>
        <v>1.8997928009353935E-3</v>
      </c>
    </row>
    <row r="125" spans="1:7" s="55" customFormat="1" ht="16.5" hidden="1" thickBot="1" x14ac:dyDescent="0.3">
      <c r="A125" s="213" t="s">
        <v>232</v>
      </c>
      <c r="B125" s="71">
        <f t="shared" ref="B125:F126" si="21">B126</f>
        <v>500</v>
      </c>
      <c r="C125" s="71"/>
      <c r="D125" s="71">
        <f t="shared" si="21"/>
        <v>394.01600000000002</v>
      </c>
      <c r="E125" s="640"/>
      <c r="F125" s="72">
        <f t="shared" si="21"/>
        <v>394.01600000000002</v>
      </c>
    </row>
    <row r="126" spans="1:7" s="55" customFormat="1" ht="16.5" hidden="1" thickBot="1" x14ac:dyDescent="0.3">
      <c r="A126" s="89" t="s">
        <v>258</v>
      </c>
      <c r="B126" s="73">
        <f t="shared" si="21"/>
        <v>500</v>
      </c>
      <c r="C126" s="73"/>
      <c r="D126" s="73">
        <f t="shared" si="21"/>
        <v>394.01600000000002</v>
      </c>
      <c r="E126" s="641"/>
      <c r="F126" s="74">
        <f t="shared" si="21"/>
        <v>394.01600000000002</v>
      </c>
    </row>
    <row r="127" spans="1:7" s="55" customFormat="1" ht="16.5" hidden="1" thickBot="1" x14ac:dyDescent="0.3">
      <c r="A127" s="9" t="s">
        <v>59</v>
      </c>
      <c r="B127" s="3">
        <f>B129</f>
        <v>500</v>
      </c>
      <c r="C127" s="3"/>
      <c r="D127" s="3">
        <f>D129</f>
        <v>394.01600000000002</v>
      </c>
      <c r="E127" s="642"/>
      <c r="F127" s="77">
        <f>F129</f>
        <v>394.01600000000002</v>
      </c>
    </row>
    <row r="128" spans="1:7" s="55" customFormat="1" ht="16.5" hidden="1" thickBot="1" x14ac:dyDescent="0.3">
      <c r="A128" s="75" t="s">
        <v>31</v>
      </c>
      <c r="B128" s="3">
        <f t="shared" ref="B128:F129" si="22">B129</f>
        <v>500</v>
      </c>
      <c r="C128" s="3"/>
      <c r="D128" s="3">
        <f t="shared" si="22"/>
        <v>394.01600000000002</v>
      </c>
      <c r="E128" s="642"/>
      <c r="F128" s="77">
        <f t="shared" si="22"/>
        <v>394.01600000000002</v>
      </c>
    </row>
    <row r="129" spans="1:7" s="55" customFormat="1" ht="16.5" hidden="1" thickBot="1" x14ac:dyDescent="0.3">
      <c r="A129" s="10" t="s">
        <v>67</v>
      </c>
      <c r="B129" s="3">
        <f t="shared" si="22"/>
        <v>500</v>
      </c>
      <c r="C129" s="3"/>
      <c r="D129" s="3">
        <f t="shared" si="22"/>
        <v>394.01600000000002</v>
      </c>
      <c r="E129" s="642"/>
      <c r="F129" s="77">
        <f t="shared" si="22"/>
        <v>394.01600000000002</v>
      </c>
    </row>
    <row r="130" spans="1:7" s="55" customFormat="1" ht="16.5" hidden="1" thickBot="1" x14ac:dyDescent="0.3">
      <c r="A130" s="346" t="s">
        <v>56</v>
      </c>
      <c r="B130" s="93">
        <f>пр.4!G190</f>
        <v>500</v>
      </c>
      <c r="C130" s="93"/>
      <c r="D130" s="93">
        <f>пр.4!H190</f>
        <v>394.01600000000002</v>
      </c>
      <c r="E130" s="646"/>
      <c r="F130" s="94">
        <f>пр.4!I190</f>
        <v>394.01600000000002</v>
      </c>
    </row>
    <row r="131" spans="1:7" s="55" customFormat="1" ht="26.25" thickBot="1" x14ac:dyDescent="0.3">
      <c r="A131" s="521" t="s">
        <v>377</v>
      </c>
      <c r="B131" s="522">
        <f>B132</f>
        <v>142267.85149999999</v>
      </c>
      <c r="C131" s="674">
        <f>B131/B313</f>
        <v>0.34569609269650164</v>
      </c>
      <c r="D131" s="522">
        <f>D132</f>
        <v>45218.5236</v>
      </c>
      <c r="E131" s="674">
        <f>D131/D313</f>
        <v>0.21591529978681015</v>
      </c>
      <c r="F131" s="523">
        <f>F132</f>
        <v>45218.5236</v>
      </c>
      <c r="G131" s="674">
        <f>F131/F313</f>
        <v>0.21802623650868794</v>
      </c>
    </row>
    <row r="132" spans="1:7" s="55" customFormat="1" ht="16.5" hidden="1" thickBot="1" x14ac:dyDescent="0.3">
      <c r="A132" s="320" t="s">
        <v>232</v>
      </c>
      <c r="B132" s="322">
        <f>B133+B142</f>
        <v>142267.85149999999</v>
      </c>
      <c r="C132" s="322"/>
      <c r="D132" s="322">
        <f>D133+D142</f>
        <v>45218.5236</v>
      </c>
      <c r="E132" s="648"/>
      <c r="F132" s="323">
        <f>F133+F142</f>
        <v>45218.5236</v>
      </c>
    </row>
    <row r="133" spans="1:7" s="55" customFormat="1" ht="26.25" hidden="1" thickBot="1" x14ac:dyDescent="0.3">
      <c r="A133" s="324" t="s">
        <v>263</v>
      </c>
      <c r="B133" s="140">
        <f>B134+B138</f>
        <v>139927.85149999999</v>
      </c>
      <c r="C133" s="140"/>
      <c r="D133" s="140">
        <f>D134+D138</f>
        <v>44218.5236</v>
      </c>
      <c r="E133" s="649"/>
      <c r="F133" s="141">
        <f>F134+F138</f>
        <v>44218.5236</v>
      </c>
    </row>
    <row r="134" spans="1:7" s="55" customFormat="1" ht="26.25" hidden="1" thickBot="1" x14ac:dyDescent="0.3">
      <c r="A134" s="137" t="s">
        <v>378</v>
      </c>
      <c r="B134" s="142">
        <f t="shared" ref="B134:F136" si="23">B135</f>
        <v>138002.37993999998</v>
      </c>
      <c r="C134" s="142"/>
      <c r="D134" s="142">
        <f t="shared" si="23"/>
        <v>44218.5236</v>
      </c>
      <c r="E134" s="650"/>
      <c r="F134" s="143">
        <f t="shared" si="23"/>
        <v>44218.5236</v>
      </c>
    </row>
    <row r="135" spans="1:7" s="55" customFormat="1" ht="16.5" hidden="1" thickBot="1" x14ac:dyDescent="0.3">
      <c r="A135" s="144" t="s">
        <v>31</v>
      </c>
      <c r="B135" s="142">
        <f t="shared" si="23"/>
        <v>138002.37993999998</v>
      </c>
      <c r="C135" s="142"/>
      <c r="D135" s="142">
        <f t="shared" si="23"/>
        <v>44218.5236</v>
      </c>
      <c r="E135" s="650"/>
      <c r="F135" s="143">
        <f t="shared" si="23"/>
        <v>44218.5236</v>
      </c>
    </row>
    <row r="136" spans="1:7" s="55" customFormat="1" ht="16.5" hidden="1" thickBot="1" x14ac:dyDescent="0.3">
      <c r="A136" s="146" t="s">
        <v>67</v>
      </c>
      <c r="B136" s="142">
        <f t="shared" si="23"/>
        <v>138002.37993999998</v>
      </c>
      <c r="C136" s="142"/>
      <c r="D136" s="142">
        <f t="shared" si="23"/>
        <v>44218.5236</v>
      </c>
      <c r="E136" s="650"/>
      <c r="F136" s="143">
        <f t="shared" si="23"/>
        <v>44218.5236</v>
      </c>
    </row>
    <row r="137" spans="1:7" s="55" customFormat="1" ht="16.5" hidden="1" thickBot="1" x14ac:dyDescent="0.3">
      <c r="A137" s="146" t="s">
        <v>61</v>
      </c>
      <c r="B137" s="142">
        <f>пр.4!G197</f>
        <v>138002.37993999998</v>
      </c>
      <c r="C137" s="142"/>
      <c r="D137" s="142">
        <f>пр.4!H197</f>
        <v>44218.5236</v>
      </c>
      <c r="E137" s="650"/>
      <c r="F137" s="143">
        <f>пр.4!I197</f>
        <v>44218.5236</v>
      </c>
    </row>
    <row r="138" spans="1:7" s="55" customFormat="1" ht="26.25" hidden="1" thickBot="1" x14ac:dyDescent="0.3">
      <c r="A138" s="137" t="s">
        <v>266</v>
      </c>
      <c r="B138" s="142">
        <f t="shared" ref="B138:F140" si="24">B139</f>
        <v>1925.4715600000002</v>
      </c>
      <c r="C138" s="142"/>
      <c r="D138" s="142">
        <f t="shared" si="24"/>
        <v>0</v>
      </c>
      <c r="E138" s="650"/>
      <c r="F138" s="143">
        <f t="shared" si="24"/>
        <v>0</v>
      </c>
    </row>
    <row r="139" spans="1:7" s="55" customFormat="1" ht="16.5" hidden="1" thickBot="1" x14ac:dyDescent="0.3">
      <c r="A139" s="137" t="s">
        <v>31</v>
      </c>
      <c r="B139" s="142">
        <f t="shared" si="24"/>
        <v>1925.4715600000002</v>
      </c>
      <c r="C139" s="142"/>
      <c r="D139" s="142">
        <f t="shared" si="24"/>
        <v>0</v>
      </c>
      <c r="E139" s="650"/>
      <c r="F139" s="143">
        <f t="shared" si="24"/>
        <v>0</v>
      </c>
    </row>
    <row r="140" spans="1:7" s="55" customFormat="1" ht="16.5" hidden="1" thickBot="1" x14ac:dyDescent="0.3">
      <c r="A140" s="146" t="s">
        <v>67</v>
      </c>
      <c r="B140" s="142">
        <f t="shared" si="24"/>
        <v>1925.4715600000002</v>
      </c>
      <c r="C140" s="142"/>
      <c r="D140" s="142">
        <f t="shared" si="24"/>
        <v>0</v>
      </c>
      <c r="E140" s="650"/>
      <c r="F140" s="143">
        <f t="shared" si="24"/>
        <v>0</v>
      </c>
    </row>
    <row r="141" spans="1:7" s="55" customFormat="1" ht="16.5" hidden="1" thickBot="1" x14ac:dyDescent="0.3">
      <c r="A141" s="146" t="s">
        <v>61</v>
      </c>
      <c r="B141" s="142">
        <f>пр.4!G200</f>
        <v>1925.4715600000002</v>
      </c>
      <c r="C141" s="142"/>
      <c r="D141" s="142">
        <f>пр.4!H200</f>
        <v>0</v>
      </c>
      <c r="E141" s="650"/>
      <c r="F141" s="143">
        <f>пр.4!I200</f>
        <v>0</v>
      </c>
    </row>
    <row r="142" spans="1:7" s="55" customFormat="1" ht="16.5" hidden="1" thickBot="1" x14ac:dyDescent="0.3">
      <c r="A142" s="324" t="s">
        <v>268</v>
      </c>
      <c r="B142" s="140">
        <f>B143</f>
        <v>2340</v>
      </c>
      <c r="C142" s="140"/>
      <c r="D142" s="140">
        <f>D143</f>
        <v>1000</v>
      </c>
      <c r="E142" s="649"/>
      <c r="F142" s="141">
        <f>F143</f>
        <v>1000</v>
      </c>
    </row>
    <row r="143" spans="1:7" s="55" customFormat="1" ht="16.5" hidden="1" thickBot="1" x14ac:dyDescent="0.3">
      <c r="A143" s="137" t="s">
        <v>269</v>
      </c>
      <c r="B143" s="142">
        <f>B145</f>
        <v>2340</v>
      </c>
      <c r="C143" s="142"/>
      <c r="D143" s="142">
        <f>D145</f>
        <v>1000</v>
      </c>
      <c r="E143" s="650"/>
      <c r="F143" s="143">
        <f>F145</f>
        <v>1000</v>
      </c>
    </row>
    <row r="144" spans="1:7" s="55" customFormat="1" ht="16.5" hidden="1" thickBot="1" x14ac:dyDescent="0.3">
      <c r="A144" s="137" t="s">
        <v>31</v>
      </c>
      <c r="B144" s="142">
        <f t="shared" ref="B144:F145" si="25">B145</f>
        <v>2340</v>
      </c>
      <c r="C144" s="142"/>
      <c r="D144" s="142">
        <f t="shared" si="25"/>
        <v>1000</v>
      </c>
      <c r="E144" s="650"/>
      <c r="F144" s="143">
        <f t="shared" si="25"/>
        <v>1000</v>
      </c>
    </row>
    <row r="145" spans="1:7" s="55" customFormat="1" ht="16.5" hidden="1" thickBot="1" x14ac:dyDescent="0.3">
      <c r="A145" s="146" t="s">
        <v>67</v>
      </c>
      <c r="B145" s="142">
        <f t="shared" si="25"/>
        <v>2340</v>
      </c>
      <c r="C145" s="142"/>
      <c r="D145" s="142">
        <f t="shared" si="25"/>
        <v>1000</v>
      </c>
      <c r="E145" s="650"/>
      <c r="F145" s="143">
        <f t="shared" si="25"/>
        <v>1000</v>
      </c>
    </row>
    <row r="146" spans="1:7" s="55" customFormat="1" ht="16.5" hidden="1" thickBot="1" x14ac:dyDescent="0.3">
      <c r="A146" s="347" t="s">
        <v>61</v>
      </c>
      <c r="B146" s="151">
        <f>пр.4!G204</f>
        <v>2340</v>
      </c>
      <c r="C146" s="151"/>
      <c r="D146" s="151">
        <f>пр.4!H204</f>
        <v>1000</v>
      </c>
      <c r="E146" s="651"/>
      <c r="F146" s="152">
        <f>пр.4!I204</f>
        <v>1000</v>
      </c>
    </row>
    <row r="147" spans="1:7" s="55" customFormat="1" ht="26.25" thickBot="1" x14ac:dyDescent="0.3">
      <c r="A147" s="524" t="s">
        <v>379</v>
      </c>
      <c r="B147" s="517">
        <f>SUM(B148)</f>
        <v>100</v>
      </c>
      <c r="C147" s="673">
        <f>B147/B313</f>
        <v>2.4298960661291893E-4</v>
      </c>
      <c r="D147" s="517">
        <f>SUM(D148)</f>
        <v>100</v>
      </c>
      <c r="E147" s="673">
        <f>D147/D313</f>
        <v>4.7749303293663958E-4</v>
      </c>
      <c r="F147" s="518">
        <f>SUM(F148)</f>
        <v>100</v>
      </c>
      <c r="G147" s="673">
        <f>F147/F313</f>
        <v>4.8216133378730644E-4</v>
      </c>
    </row>
    <row r="148" spans="1:7" s="55" customFormat="1" ht="16.5" hidden="1" thickBot="1" x14ac:dyDescent="0.3">
      <c r="A148" s="185" t="s">
        <v>232</v>
      </c>
      <c r="B148" s="110">
        <f>SUM(B150)</f>
        <v>100</v>
      </c>
      <c r="C148" s="110"/>
      <c r="D148" s="110">
        <f>SUM(D150)</f>
        <v>100</v>
      </c>
      <c r="E148" s="645"/>
      <c r="F148" s="111">
        <f>SUM(F150)</f>
        <v>100</v>
      </c>
    </row>
    <row r="149" spans="1:7" s="55" customFormat="1" ht="26.25" hidden="1" thickBot="1" x14ac:dyDescent="0.3">
      <c r="A149" s="89" t="s">
        <v>380</v>
      </c>
      <c r="B149" s="73">
        <f t="shared" ref="B149:F152" si="26">B150</f>
        <v>100</v>
      </c>
      <c r="C149" s="73"/>
      <c r="D149" s="73">
        <f t="shared" si="26"/>
        <v>100</v>
      </c>
      <c r="E149" s="641"/>
      <c r="F149" s="74">
        <f t="shared" si="26"/>
        <v>100</v>
      </c>
    </row>
    <row r="150" spans="1:7" s="55" customFormat="1" ht="16.5" hidden="1" thickBot="1" x14ac:dyDescent="0.3">
      <c r="A150" s="9" t="s">
        <v>63</v>
      </c>
      <c r="B150" s="3">
        <f t="shared" si="26"/>
        <v>100</v>
      </c>
      <c r="C150" s="3"/>
      <c r="D150" s="3">
        <f t="shared" si="26"/>
        <v>100</v>
      </c>
      <c r="E150" s="642"/>
      <c r="F150" s="77">
        <f t="shared" si="26"/>
        <v>100</v>
      </c>
    </row>
    <row r="151" spans="1:7" s="55" customFormat="1" ht="16.5" hidden="1" thickBot="1" x14ac:dyDescent="0.3">
      <c r="A151" s="75" t="s">
        <v>31</v>
      </c>
      <c r="B151" s="3">
        <f t="shared" si="26"/>
        <v>100</v>
      </c>
      <c r="C151" s="3"/>
      <c r="D151" s="3">
        <f t="shared" si="26"/>
        <v>100</v>
      </c>
      <c r="E151" s="642"/>
      <c r="F151" s="77">
        <f t="shared" si="26"/>
        <v>100</v>
      </c>
    </row>
    <row r="152" spans="1:7" s="55" customFormat="1" ht="16.5" hidden="1" thickBot="1" x14ac:dyDescent="0.3">
      <c r="A152" s="10" t="s">
        <v>67</v>
      </c>
      <c r="B152" s="3">
        <f t="shared" si="26"/>
        <v>100</v>
      </c>
      <c r="C152" s="3"/>
      <c r="D152" s="3">
        <f t="shared" si="26"/>
        <v>100</v>
      </c>
      <c r="E152" s="642"/>
      <c r="F152" s="77">
        <f t="shared" si="26"/>
        <v>100</v>
      </c>
    </row>
    <row r="153" spans="1:7" s="55" customFormat="1" ht="16.5" hidden="1" thickBot="1" x14ac:dyDescent="0.3">
      <c r="A153" s="338" t="s">
        <v>61</v>
      </c>
      <c r="B153" s="3">
        <f>пр.4!G210</f>
        <v>100</v>
      </c>
      <c r="C153" s="3"/>
      <c r="D153" s="3">
        <f>пр.4!H210</f>
        <v>100</v>
      </c>
      <c r="E153" s="642"/>
      <c r="F153" s="77">
        <f>пр.4!I210</f>
        <v>100</v>
      </c>
    </row>
    <row r="154" spans="1:7" s="55" customFormat="1" ht="39" thickBot="1" x14ac:dyDescent="0.3">
      <c r="A154" s="525" t="s">
        <v>381</v>
      </c>
      <c r="B154" s="517">
        <f>B155</f>
        <v>1700</v>
      </c>
      <c r="C154" s="673">
        <f>B154/B313</f>
        <v>4.1308233124196219E-3</v>
      </c>
      <c r="D154" s="517">
        <f t="shared" ref="B154:F155" si="27">D155</f>
        <v>80</v>
      </c>
      <c r="E154" s="673">
        <f>D154/D313</f>
        <v>3.8199442634931168E-4</v>
      </c>
      <c r="F154" s="518">
        <f t="shared" si="27"/>
        <v>80</v>
      </c>
      <c r="G154" s="673">
        <f>F154/F313</f>
        <v>3.8572906702984518E-4</v>
      </c>
    </row>
    <row r="155" spans="1:7" s="55" customFormat="1" ht="16.5" hidden="1" thickBot="1" x14ac:dyDescent="0.3">
      <c r="A155" s="213" t="s">
        <v>232</v>
      </c>
      <c r="B155" s="71">
        <f t="shared" si="27"/>
        <v>1700</v>
      </c>
      <c r="C155" s="71"/>
      <c r="D155" s="71">
        <f t="shared" si="27"/>
        <v>80</v>
      </c>
      <c r="E155" s="640"/>
      <c r="F155" s="72">
        <f t="shared" si="27"/>
        <v>80</v>
      </c>
    </row>
    <row r="156" spans="1:7" s="55" customFormat="1" ht="16.5" hidden="1" thickBot="1" x14ac:dyDescent="0.3">
      <c r="A156" s="89" t="s">
        <v>268</v>
      </c>
      <c r="B156" s="73">
        <f>B158</f>
        <v>1700</v>
      </c>
      <c r="C156" s="73"/>
      <c r="D156" s="73">
        <f>D158</f>
        <v>80</v>
      </c>
      <c r="E156" s="641"/>
      <c r="F156" s="74">
        <f>F158</f>
        <v>80</v>
      </c>
    </row>
    <row r="157" spans="1:7" s="55" customFormat="1" ht="16.5" hidden="1" thickBot="1" x14ac:dyDescent="0.3">
      <c r="A157" s="89" t="s">
        <v>277</v>
      </c>
      <c r="B157" s="3">
        <f t="shared" ref="B157:F159" si="28">B158</f>
        <v>1700</v>
      </c>
      <c r="C157" s="3"/>
      <c r="D157" s="3">
        <f t="shared" si="28"/>
        <v>80</v>
      </c>
      <c r="E157" s="642"/>
      <c r="F157" s="77">
        <f t="shared" si="28"/>
        <v>80</v>
      </c>
    </row>
    <row r="158" spans="1:7" s="55" customFormat="1" ht="16.5" hidden="1" thickBot="1" x14ac:dyDescent="0.3">
      <c r="A158" s="161" t="s">
        <v>31</v>
      </c>
      <c r="B158" s="3">
        <f t="shared" si="28"/>
        <v>1700</v>
      </c>
      <c r="C158" s="3"/>
      <c r="D158" s="3">
        <f t="shared" si="28"/>
        <v>80</v>
      </c>
      <c r="E158" s="642"/>
      <c r="F158" s="77">
        <f t="shared" si="28"/>
        <v>80</v>
      </c>
    </row>
    <row r="159" spans="1:7" s="55" customFormat="1" ht="16.5" hidden="1" thickBot="1" x14ac:dyDescent="0.3">
      <c r="A159" s="117" t="s">
        <v>67</v>
      </c>
      <c r="B159" s="3">
        <f t="shared" si="28"/>
        <v>1700</v>
      </c>
      <c r="C159" s="3"/>
      <c r="D159" s="3">
        <f t="shared" si="28"/>
        <v>80</v>
      </c>
      <c r="E159" s="642"/>
      <c r="F159" s="77">
        <f t="shared" si="28"/>
        <v>80</v>
      </c>
    </row>
    <row r="160" spans="1:7" s="55" customFormat="1" ht="16.5" hidden="1" thickBot="1" x14ac:dyDescent="0.3">
      <c r="A160" s="162" t="s">
        <v>61</v>
      </c>
      <c r="B160" s="164">
        <f>пр.4!G216</f>
        <v>1700</v>
      </c>
      <c r="C160" s="164"/>
      <c r="D160" s="164">
        <f>пр.4!H216</f>
        <v>80</v>
      </c>
      <c r="E160" s="647"/>
      <c r="F160" s="165">
        <f>пр.4!I216</f>
        <v>80</v>
      </c>
    </row>
    <row r="161" spans="1:7" s="55" customFormat="1" ht="26.25" thickBot="1" x14ac:dyDescent="0.3">
      <c r="A161" s="525" t="s">
        <v>382</v>
      </c>
      <c r="B161" s="526">
        <f>B168+B162</f>
        <v>100</v>
      </c>
      <c r="C161" s="675">
        <f>B161/B313</f>
        <v>2.4298960661291893E-4</v>
      </c>
      <c r="D161" s="526">
        <f>D168+D162</f>
        <v>100</v>
      </c>
      <c r="E161" s="675">
        <f>D161/D313</f>
        <v>4.7749303293663958E-4</v>
      </c>
      <c r="F161" s="527">
        <f>F168+F162</f>
        <v>100</v>
      </c>
      <c r="G161" s="675">
        <f>F161/F313</f>
        <v>4.8216133378730644E-4</v>
      </c>
    </row>
    <row r="162" spans="1:7" s="55" customFormat="1" ht="16.5" hidden="1" thickBot="1" x14ac:dyDescent="0.3">
      <c r="A162" s="327" t="s">
        <v>232</v>
      </c>
      <c r="B162" s="282">
        <f t="shared" ref="B162:F166" si="29">B163</f>
        <v>50</v>
      </c>
      <c r="C162" s="282"/>
      <c r="D162" s="282">
        <f t="shared" si="29"/>
        <v>50</v>
      </c>
      <c r="E162" s="652"/>
      <c r="F162" s="283">
        <f t="shared" si="29"/>
        <v>50</v>
      </c>
    </row>
    <row r="163" spans="1:7" s="55" customFormat="1" ht="16.5" hidden="1" thickBot="1" x14ac:dyDescent="0.3">
      <c r="A163" s="168" t="s">
        <v>299</v>
      </c>
      <c r="B163" s="252">
        <f t="shared" si="29"/>
        <v>50</v>
      </c>
      <c r="C163" s="252"/>
      <c r="D163" s="252">
        <f t="shared" si="29"/>
        <v>50</v>
      </c>
      <c r="E163" s="653"/>
      <c r="F163" s="253">
        <f t="shared" si="29"/>
        <v>50</v>
      </c>
    </row>
    <row r="164" spans="1:7" s="55" customFormat="1" ht="16.5" hidden="1" thickBot="1" x14ac:dyDescent="0.3">
      <c r="A164" s="137" t="s">
        <v>302</v>
      </c>
      <c r="B164" s="6">
        <f t="shared" si="29"/>
        <v>50</v>
      </c>
      <c r="C164" s="6"/>
      <c r="D164" s="6">
        <f t="shared" si="29"/>
        <v>50</v>
      </c>
      <c r="E164" s="654"/>
      <c r="F164" s="11">
        <f t="shared" si="29"/>
        <v>50</v>
      </c>
    </row>
    <row r="165" spans="1:7" s="55" customFormat="1" ht="16.5" hidden="1" thickBot="1" x14ac:dyDescent="0.3">
      <c r="A165" s="161" t="s">
        <v>31</v>
      </c>
      <c r="B165" s="6">
        <f t="shared" si="29"/>
        <v>50</v>
      </c>
      <c r="C165" s="6"/>
      <c r="D165" s="6">
        <f t="shared" si="29"/>
        <v>50</v>
      </c>
      <c r="E165" s="654"/>
      <c r="F165" s="11">
        <f t="shared" si="29"/>
        <v>50</v>
      </c>
    </row>
    <row r="166" spans="1:7" s="55" customFormat="1" ht="16.5" hidden="1" thickBot="1" x14ac:dyDescent="0.3">
      <c r="A166" s="117" t="s">
        <v>67</v>
      </c>
      <c r="B166" s="6">
        <f t="shared" si="29"/>
        <v>50</v>
      </c>
      <c r="C166" s="6"/>
      <c r="D166" s="6">
        <f t="shared" si="29"/>
        <v>50</v>
      </c>
      <c r="E166" s="654"/>
      <c r="F166" s="11">
        <f t="shared" si="29"/>
        <v>50</v>
      </c>
    </row>
    <row r="167" spans="1:7" s="55" customFormat="1" ht="16.5" hidden="1" thickBot="1" x14ac:dyDescent="0.3">
      <c r="A167" s="117" t="s">
        <v>61</v>
      </c>
      <c r="B167" s="6">
        <f>пр.4!G222</f>
        <v>50</v>
      </c>
      <c r="C167" s="6"/>
      <c r="D167" s="6">
        <f>пр.4!H222</f>
        <v>50</v>
      </c>
      <c r="E167" s="654"/>
      <c r="F167" s="11">
        <f>пр.4!I222</f>
        <v>50</v>
      </c>
    </row>
    <row r="168" spans="1:7" s="55" customFormat="1" ht="16.5" hidden="1" thickBot="1" x14ac:dyDescent="0.3">
      <c r="A168" s="193" t="s">
        <v>410</v>
      </c>
      <c r="B168" s="256">
        <f>B170</f>
        <v>50</v>
      </c>
      <c r="C168" s="256"/>
      <c r="D168" s="256">
        <f>D170</f>
        <v>50</v>
      </c>
      <c r="E168" s="655"/>
      <c r="F168" s="257">
        <f>F170</f>
        <v>50</v>
      </c>
    </row>
    <row r="169" spans="1:7" s="55" customFormat="1" ht="16.5" hidden="1" thickBot="1" x14ac:dyDescent="0.3">
      <c r="A169" s="89" t="s">
        <v>320</v>
      </c>
      <c r="B169" s="252">
        <f t="shared" ref="B169:F172" si="30">B170</f>
        <v>50</v>
      </c>
      <c r="C169" s="252"/>
      <c r="D169" s="252">
        <f t="shared" si="30"/>
        <v>50</v>
      </c>
      <c r="E169" s="653"/>
      <c r="F169" s="253">
        <f t="shared" si="30"/>
        <v>50</v>
      </c>
    </row>
    <row r="170" spans="1:7" s="55" customFormat="1" ht="26.25" hidden="1" thickBot="1" x14ac:dyDescent="0.3">
      <c r="A170" s="9" t="s">
        <v>383</v>
      </c>
      <c r="B170" s="6">
        <f t="shared" si="30"/>
        <v>50</v>
      </c>
      <c r="C170" s="6"/>
      <c r="D170" s="6">
        <f t="shared" si="30"/>
        <v>50</v>
      </c>
      <c r="E170" s="654"/>
      <c r="F170" s="11">
        <f t="shared" si="30"/>
        <v>50</v>
      </c>
    </row>
    <row r="171" spans="1:7" s="55" customFormat="1" ht="16.5" hidden="1" thickBot="1" x14ac:dyDescent="0.3">
      <c r="A171" s="161" t="s">
        <v>31</v>
      </c>
      <c r="B171" s="6">
        <f t="shared" si="30"/>
        <v>50</v>
      </c>
      <c r="C171" s="6"/>
      <c r="D171" s="6">
        <f t="shared" si="30"/>
        <v>50</v>
      </c>
      <c r="E171" s="654"/>
      <c r="F171" s="11">
        <f t="shared" si="30"/>
        <v>50</v>
      </c>
    </row>
    <row r="172" spans="1:7" s="55" customFormat="1" ht="16.5" hidden="1" thickBot="1" x14ac:dyDescent="0.3">
      <c r="A172" s="117" t="s">
        <v>67</v>
      </c>
      <c r="B172" s="6">
        <f t="shared" si="30"/>
        <v>50</v>
      </c>
      <c r="C172" s="6"/>
      <c r="D172" s="6">
        <f t="shared" si="30"/>
        <v>50</v>
      </c>
      <c r="E172" s="654"/>
      <c r="F172" s="11">
        <f t="shared" si="30"/>
        <v>50</v>
      </c>
    </row>
    <row r="173" spans="1:7" s="55" customFormat="1" ht="16.5" hidden="1" thickBot="1" x14ac:dyDescent="0.3">
      <c r="A173" s="162" t="s">
        <v>61</v>
      </c>
      <c r="B173" s="170">
        <f>пр.4!G227</f>
        <v>50</v>
      </c>
      <c r="C173" s="170"/>
      <c r="D173" s="170">
        <f>пр.4!H227</f>
        <v>50</v>
      </c>
      <c r="E173" s="656"/>
      <c r="F173" s="171">
        <f>пр.4!I227</f>
        <v>50</v>
      </c>
    </row>
    <row r="174" spans="1:7" s="55" customFormat="1" ht="26.25" thickBot="1" x14ac:dyDescent="0.3">
      <c r="A174" s="516" t="s">
        <v>384</v>
      </c>
      <c r="B174" s="517">
        <f t="shared" ref="B174:F175" si="31">B175</f>
        <v>21839.96038</v>
      </c>
      <c r="C174" s="673">
        <f>B174/B313</f>
        <v>5.3068833811779355E-2</v>
      </c>
      <c r="D174" s="517">
        <f t="shared" si="31"/>
        <v>1500</v>
      </c>
      <c r="E174" s="673">
        <f>D174/D313</f>
        <v>7.162395494049594E-3</v>
      </c>
      <c r="F174" s="518">
        <f t="shared" si="31"/>
        <v>1000</v>
      </c>
      <c r="G174" s="673">
        <f>F174/F313</f>
        <v>4.8216133378730644E-3</v>
      </c>
    </row>
    <row r="175" spans="1:7" s="55" customFormat="1" ht="16.5" hidden="1" thickBot="1" x14ac:dyDescent="0.3">
      <c r="A175" s="193" t="s">
        <v>422</v>
      </c>
      <c r="B175" s="100">
        <f t="shared" si="31"/>
        <v>21839.96038</v>
      </c>
      <c r="C175" s="100"/>
      <c r="D175" s="100">
        <f t="shared" si="31"/>
        <v>1500</v>
      </c>
      <c r="E175" s="657"/>
      <c r="F175" s="101">
        <f t="shared" si="31"/>
        <v>1000</v>
      </c>
    </row>
    <row r="176" spans="1:7" s="55" customFormat="1" ht="16.5" hidden="1" thickBot="1" x14ac:dyDescent="0.3">
      <c r="A176" s="89" t="s">
        <v>318</v>
      </c>
      <c r="B176" s="73">
        <f>B178</f>
        <v>21839.96038</v>
      </c>
      <c r="C176" s="73"/>
      <c r="D176" s="73">
        <f>D178</f>
        <v>1500</v>
      </c>
      <c r="E176" s="641"/>
      <c r="F176" s="74">
        <f>F178</f>
        <v>1000</v>
      </c>
    </row>
    <row r="177" spans="1:7" s="55" customFormat="1" ht="16.5" hidden="1" thickBot="1" x14ac:dyDescent="0.3">
      <c r="A177" s="9" t="s">
        <v>153</v>
      </c>
      <c r="B177" s="3">
        <f t="shared" ref="B177:F179" si="32">B178</f>
        <v>21839.96038</v>
      </c>
      <c r="C177" s="3"/>
      <c r="D177" s="3">
        <f t="shared" si="32"/>
        <v>1500</v>
      </c>
      <c r="E177" s="642"/>
      <c r="F177" s="77">
        <f t="shared" si="32"/>
        <v>1000</v>
      </c>
    </row>
    <row r="178" spans="1:7" s="55" customFormat="1" ht="16.5" hidden="1" thickBot="1" x14ac:dyDescent="0.3">
      <c r="A178" s="156" t="s">
        <v>65</v>
      </c>
      <c r="B178" s="3">
        <f t="shared" si="32"/>
        <v>21839.96038</v>
      </c>
      <c r="C178" s="3"/>
      <c r="D178" s="3">
        <f t="shared" si="32"/>
        <v>1500</v>
      </c>
      <c r="E178" s="642"/>
      <c r="F178" s="77">
        <f t="shared" si="32"/>
        <v>1000</v>
      </c>
    </row>
    <row r="179" spans="1:7" s="55" customFormat="1" ht="16.5" hidden="1" thickBot="1" x14ac:dyDescent="0.3">
      <c r="A179" s="117" t="s">
        <v>67</v>
      </c>
      <c r="B179" s="3">
        <f t="shared" si="32"/>
        <v>21839.96038</v>
      </c>
      <c r="C179" s="3"/>
      <c r="D179" s="3">
        <f t="shared" si="32"/>
        <v>1500</v>
      </c>
      <c r="E179" s="642"/>
      <c r="F179" s="77">
        <f t="shared" si="32"/>
        <v>1000</v>
      </c>
    </row>
    <row r="180" spans="1:7" s="55" customFormat="1" ht="16.5" hidden="1" thickBot="1" x14ac:dyDescent="0.3">
      <c r="A180" s="162" t="s">
        <v>61</v>
      </c>
      <c r="B180" s="164">
        <f>пр.4!G233</f>
        <v>21839.96038</v>
      </c>
      <c r="C180" s="164"/>
      <c r="D180" s="164">
        <f>пр.4!H233</f>
        <v>1500</v>
      </c>
      <c r="E180" s="647"/>
      <c r="F180" s="165">
        <f>пр.4!I233</f>
        <v>1000</v>
      </c>
    </row>
    <row r="181" spans="1:7" s="174" customFormat="1" ht="27" thickBot="1" x14ac:dyDescent="0.3">
      <c r="A181" s="528" t="s">
        <v>374</v>
      </c>
      <c r="B181" s="517">
        <f t="shared" ref="B181:F182" si="33">B182</f>
        <v>5</v>
      </c>
      <c r="C181" s="673">
        <f>B181/B313</f>
        <v>1.2149480330645946E-5</v>
      </c>
      <c r="D181" s="517">
        <f t="shared" si="33"/>
        <v>5</v>
      </c>
      <c r="E181" s="673">
        <f>D181/D313</f>
        <v>2.387465164683198E-5</v>
      </c>
      <c r="F181" s="518">
        <f t="shared" si="33"/>
        <v>5</v>
      </c>
      <c r="G181" s="673">
        <f>F181/F313</f>
        <v>2.4108066689365324E-5</v>
      </c>
    </row>
    <row r="182" spans="1:7" s="55" customFormat="1" ht="16.5" hidden="1" thickBot="1" x14ac:dyDescent="0.3">
      <c r="A182" s="330" t="s">
        <v>433</v>
      </c>
      <c r="B182" s="71">
        <f t="shared" si="33"/>
        <v>5</v>
      </c>
      <c r="C182" s="71"/>
      <c r="D182" s="71">
        <f t="shared" si="33"/>
        <v>5</v>
      </c>
      <c r="E182" s="640"/>
      <c r="F182" s="72">
        <f t="shared" si="33"/>
        <v>5</v>
      </c>
    </row>
    <row r="183" spans="1:7" s="55" customFormat="1" ht="27" hidden="1" thickBot="1" x14ac:dyDescent="0.3">
      <c r="A183" s="279" t="s">
        <v>419</v>
      </c>
      <c r="B183" s="73">
        <f>B185</f>
        <v>5</v>
      </c>
      <c r="C183" s="73"/>
      <c r="D183" s="73">
        <f>D185</f>
        <v>5</v>
      </c>
      <c r="E183" s="641"/>
      <c r="F183" s="74">
        <f>F185</f>
        <v>5</v>
      </c>
    </row>
    <row r="184" spans="1:7" s="55" customFormat="1" ht="27" hidden="1" thickBot="1" x14ac:dyDescent="0.3">
      <c r="A184" s="175" t="s">
        <v>294</v>
      </c>
      <c r="B184" s="3">
        <f t="shared" ref="B184:F186" si="34">B185</f>
        <v>5</v>
      </c>
      <c r="C184" s="3"/>
      <c r="D184" s="3">
        <f t="shared" si="34"/>
        <v>5</v>
      </c>
      <c r="E184" s="642"/>
      <c r="F184" s="77">
        <f t="shared" si="34"/>
        <v>5</v>
      </c>
    </row>
    <row r="185" spans="1:7" s="55" customFormat="1" ht="16.5" hidden="1" thickBot="1" x14ac:dyDescent="0.3">
      <c r="A185" s="75" t="s">
        <v>31</v>
      </c>
      <c r="B185" s="3">
        <f t="shared" si="34"/>
        <v>5</v>
      </c>
      <c r="C185" s="3"/>
      <c r="D185" s="3">
        <f t="shared" si="34"/>
        <v>5</v>
      </c>
      <c r="E185" s="642"/>
      <c r="F185" s="77">
        <f t="shared" si="34"/>
        <v>5</v>
      </c>
    </row>
    <row r="186" spans="1:7" s="55" customFormat="1" ht="16.5" hidden="1" thickBot="1" x14ac:dyDescent="0.3">
      <c r="A186" s="10" t="s">
        <v>67</v>
      </c>
      <c r="B186" s="3">
        <f t="shared" si="34"/>
        <v>5</v>
      </c>
      <c r="C186" s="3"/>
      <c r="D186" s="3">
        <f t="shared" si="34"/>
        <v>5</v>
      </c>
      <c r="E186" s="642"/>
      <c r="F186" s="77">
        <f t="shared" si="34"/>
        <v>5</v>
      </c>
    </row>
    <row r="187" spans="1:7" s="55" customFormat="1" ht="15" hidden="1" customHeight="1" thickBot="1" x14ac:dyDescent="0.3">
      <c r="A187" s="255" t="s">
        <v>295</v>
      </c>
      <c r="B187" s="164">
        <f>пр.4!G105</f>
        <v>5</v>
      </c>
      <c r="C187" s="164"/>
      <c r="D187" s="164">
        <f>пр.4!H105</f>
        <v>5</v>
      </c>
      <c r="E187" s="647"/>
      <c r="F187" s="165">
        <f>пр.4!I105</f>
        <v>5</v>
      </c>
    </row>
    <row r="188" spans="1:7" s="55" customFormat="1" ht="51.75" thickBot="1" x14ac:dyDescent="0.3">
      <c r="A188" s="516" t="s">
        <v>354</v>
      </c>
      <c r="B188" s="517">
        <f t="shared" ref="B188:F193" si="35">B189</f>
        <v>2364.0216</v>
      </c>
      <c r="C188" s="673">
        <f>B188/B313</f>
        <v>5.744326786084432E-3</v>
      </c>
      <c r="D188" s="517">
        <f t="shared" si="35"/>
        <v>0</v>
      </c>
      <c r="E188" s="673">
        <f>D188/D313</f>
        <v>0</v>
      </c>
      <c r="F188" s="518">
        <f t="shared" si="35"/>
        <v>0</v>
      </c>
      <c r="G188" s="673">
        <f>F188/F313</f>
        <v>0</v>
      </c>
    </row>
    <row r="189" spans="1:7" s="55" customFormat="1" ht="15.75" hidden="1" x14ac:dyDescent="0.25">
      <c r="A189" s="331" t="s">
        <v>232</v>
      </c>
      <c r="B189" s="71">
        <f t="shared" si="35"/>
        <v>2364.0216</v>
      </c>
      <c r="C189" s="71"/>
      <c r="D189" s="71">
        <f t="shared" si="35"/>
        <v>0</v>
      </c>
      <c r="E189" s="640"/>
      <c r="F189" s="72">
        <f t="shared" si="35"/>
        <v>0</v>
      </c>
    </row>
    <row r="190" spans="1:7" s="55" customFormat="1" ht="15.75" hidden="1" x14ac:dyDescent="0.25">
      <c r="A190" s="154" t="s">
        <v>362</v>
      </c>
      <c r="B190" s="73">
        <f t="shared" si="35"/>
        <v>2364.0216</v>
      </c>
      <c r="C190" s="73"/>
      <c r="D190" s="73">
        <f t="shared" si="35"/>
        <v>0</v>
      </c>
      <c r="E190" s="641"/>
      <c r="F190" s="74">
        <f t="shared" si="35"/>
        <v>0</v>
      </c>
    </row>
    <row r="191" spans="1:7" s="55" customFormat="1" ht="25.5" hidden="1" x14ac:dyDescent="0.25">
      <c r="A191" s="155" t="s">
        <v>367</v>
      </c>
      <c r="B191" s="3">
        <f t="shared" si="35"/>
        <v>2364.0216</v>
      </c>
      <c r="C191" s="3"/>
      <c r="D191" s="3">
        <v>0</v>
      </c>
      <c r="E191" s="642"/>
      <c r="F191" s="77">
        <v>0</v>
      </c>
    </row>
    <row r="192" spans="1:7" s="55" customFormat="1" ht="15.75" hidden="1" x14ac:dyDescent="0.25">
      <c r="A192" s="75" t="s">
        <v>31</v>
      </c>
      <c r="B192" s="3">
        <f t="shared" si="35"/>
        <v>2364.0216</v>
      </c>
      <c r="C192" s="3"/>
      <c r="D192" s="3">
        <f>D193</f>
        <v>0</v>
      </c>
      <c r="E192" s="642"/>
      <c r="F192" s="77">
        <f>F193</f>
        <v>0</v>
      </c>
    </row>
    <row r="193" spans="1:6" s="55" customFormat="1" ht="15.75" hidden="1" x14ac:dyDescent="0.25">
      <c r="A193" s="10" t="s">
        <v>67</v>
      </c>
      <c r="B193" s="3">
        <f t="shared" si="35"/>
        <v>2364.0216</v>
      </c>
      <c r="C193" s="3"/>
      <c r="D193" s="3">
        <f>D194</f>
        <v>0</v>
      </c>
      <c r="E193" s="642"/>
      <c r="F193" s="77">
        <f>F194</f>
        <v>0</v>
      </c>
    </row>
    <row r="194" spans="1:6" s="55" customFormat="1" ht="15.75" hidden="1" x14ac:dyDescent="0.25">
      <c r="A194" s="348" t="s">
        <v>61</v>
      </c>
      <c r="B194" s="164">
        <f>пр.4!G239</f>
        <v>2364.0216</v>
      </c>
      <c r="C194" s="164"/>
      <c r="D194" s="164">
        <f>пр.4!H239</f>
        <v>0</v>
      </c>
      <c r="E194" s="647"/>
      <c r="F194" s="165">
        <f>пр.4!I239</f>
        <v>0</v>
      </c>
    </row>
    <row r="195" spans="1:6" s="55" customFormat="1" ht="16.5" hidden="1" thickBot="1" x14ac:dyDescent="0.3">
      <c r="A195" s="176" t="s">
        <v>69</v>
      </c>
      <c r="B195" s="179">
        <f>B196+B246+B267</f>
        <v>99775.386709999992</v>
      </c>
      <c r="C195" s="179"/>
      <c r="D195" s="179">
        <f>D196+D246+D267</f>
        <v>91459.451891999983</v>
      </c>
      <c r="E195" s="658"/>
      <c r="F195" s="180">
        <f>F196+F246+F267</f>
        <v>93324.668974</v>
      </c>
    </row>
    <row r="196" spans="1:6" s="55" customFormat="1" ht="26.25" hidden="1" thickBot="1" x14ac:dyDescent="0.3">
      <c r="A196" s="181" t="s">
        <v>10</v>
      </c>
      <c r="B196" s="183">
        <f>B203+B240+B197</f>
        <v>74928.297579999984</v>
      </c>
      <c r="C196" s="183"/>
      <c r="D196" s="183">
        <f>D203+D240+D197</f>
        <v>70888.099029999983</v>
      </c>
      <c r="E196" s="659"/>
      <c r="F196" s="184">
        <f>F203+F240+F197</f>
        <v>71396.691029999987</v>
      </c>
    </row>
    <row r="197" spans="1:6" s="55" customFormat="1" ht="15.75" hidden="1" x14ac:dyDescent="0.25">
      <c r="A197" s="185" t="s">
        <v>149</v>
      </c>
      <c r="B197" s="187">
        <f t="shared" ref="B197:F199" si="36">B198</f>
        <v>4549.741</v>
      </c>
      <c r="C197" s="187"/>
      <c r="D197" s="187">
        <f t="shared" si="36"/>
        <v>4549.741</v>
      </c>
      <c r="E197" s="660"/>
      <c r="F197" s="188">
        <f t="shared" si="36"/>
        <v>4549.741</v>
      </c>
    </row>
    <row r="198" spans="1:6" s="55" customFormat="1" ht="15.75" hidden="1" x14ac:dyDescent="0.25">
      <c r="A198" s="89" t="s">
        <v>13</v>
      </c>
      <c r="B198" s="189">
        <f t="shared" si="36"/>
        <v>4549.741</v>
      </c>
      <c r="C198" s="189"/>
      <c r="D198" s="189">
        <f t="shared" si="36"/>
        <v>4549.741</v>
      </c>
      <c r="E198" s="661"/>
      <c r="F198" s="190">
        <f t="shared" si="36"/>
        <v>4549.741</v>
      </c>
    </row>
    <row r="199" spans="1:6" s="55" customFormat="1" ht="15.75" hidden="1" x14ac:dyDescent="0.25">
      <c r="A199" s="9" t="s">
        <v>149</v>
      </c>
      <c r="B199" s="191">
        <f>B200</f>
        <v>4549.741</v>
      </c>
      <c r="C199" s="191"/>
      <c r="D199" s="191">
        <f t="shared" si="36"/>
        <v>4549.741</v>
      </c>
      <c r="E199" s="662"/>
      <c r="F199" s="192">
        <f t="shared" si="36"/>
        <v>4549.741</v>
      </c>
    </row>
    <row r="200" spans="1:6" s="55" customFormat="1" ht="25.5" hidden="1" x14ac:dyDescent="0.25">
      <c r="A200" s="9" t="s">
        <v>27</v>
      </c>
      <c r="B200" s="191">
        <f t="shared" ref="B200:F201" si="37">B201</f>
        <v>4549.741</v>
      </c>
      <c r="C200" s="191"/>
      <c r="D200" s="191">
        <f t="shared" si="37"/>
        <v>4549.741</v>
      </c>
      <c r="E200" s="662"/>
      <c r="F200" s="192">
        <f t="shared" si="37"/>
        <v>4549.741</v>
      </c>
    </row>
    <row r="201" spans="1:6" s="55" customFormat="1" ht="15.75" hidden="1" x14ac:dyDescent="0.25">
      <c r="A201" s="10" t="s">
        <v>73</v>
      </c>
      <c r="B201" s="191">
        <f t="shared" si="37"/>
        <v>4549.741</v>
      </c>
      <c r="C201" s="191"/>
      <c r="D201" s="191">
        <f t="shared" si="37"/>
        <v>4549.741</v>
      </c>
      <c r="E201" s="662"/>
      <c r="F201" s="192">
        <f t="shared" si="37"/>
        <v>4549.741</v>
      </c>
    </row>
    <row r="202" spans="1:6" s="55" customFormat="1" ht="15.75" hidden="1" x14ac:dyDescent="0.25">
      <c r="A202" s="10" t="s">
        <v>148</v>
      </c>
      <c r="B202" s="191">
        <f>пр.4!G326</f>
        <v>4549.741</v>
      </c>
      <c r="C202" s="191"/>
      <c r="D202" s="191">
        <f>пр.4!H326</f>
        <v>4549.741</v>
      </c>
      <c r="E202" s="662"/>
      <c r="F202" s="192">
        <f>пр.4!I326</f>
        <v>4549.741</v>
      </c>
    </row>
    <row r="203" spans="1:6" s="55" customFormat="1" ht="27" hidden="1" x14ac:dyDescent="0.25">
      <c r="A203" s="193" t="s">
        <v>385</v>
      </c>
      <c r="B203" s="195">
        <f>B204</f>
        <v>67607.008709999995</v>
      </c>
      <c r="C203" s="195"/>
      <c r="D203" s="195">
        <f>D204</f>
        <v>63566.810159999994</v>
      </c>
      <c r="E203" s="663"/>
      <c r="F203" s="196">
        <f>F204</f>
        <v>64075.402159999998</v>
      </c>
    </row>
    <row r="204" spans="1:6" s="55" customFormat="1" ht="15.75" hidden="1" x14ac:dyDescent="0.25">
      <c r="A204" s="89" t="s">
        <v>13</v>
      </c>
      <c r="B204" s="189">
        <f>B205+B217+B221+B225+B229+B236</f>
        <v>67607.008709999995</v>
      </c>
      <c r="C204" s="189"/>
      <c r="D204" s="189">
        <f>D205+D217+D221+D225+D229+D236</f>
        <v>63566.810159999994</v>
      </c>
      <c r="E204" s="661"/>
      <c r="F204" s="190">
        <f>F205+F217+F221+F225+F229+F236</f>
        <v>64075.402159999998</v>
      </c>
    </row>
    <row r="205" spans="1:6" s="55" customFormat="1" ht="15.75" hidden="1" x14ac:dyDescent="0.25">
      <c r="A205" s="9" t="s">
        <v>70</v>
      </c>
      <c r="B205" s="191">
        <f>B206+B214+B210</f>
        <v>62267.824710000001</v>
      </c>
      <c r="C205" s="191"/>
      <c r="D205" s="191">
        <f>D206+D214+D210</f>
        <v>60557.550159999999</v>
      </c>
      <c r="E205" s="662"/>
      <c r="F205" s="192">
        <f>F206+F214+F210</f>
        <v>61066.142160000003</v>
      </c>
    </row>
    <row r="206" spans="1:6" s="55" customFormat="1" ht="25.5" hidden="1" x14ac:dyDescent="0.25">
      <c r="A206" s="9" t="s">
        <v>27</v>
      </c>
      <c r="B206" s="191">
        <f>B207</f>
        <v>51623.75056</v>
      </c>
      <c r="C206" s="191"/>
      <c r="D206" s="191">
        <f>D207</f>
        <v>51623.75056</v>
      </c>
      <c r="E206" s="662"/>
      <c r="F206" s="192">
        <f>F207</f>
        <v>51623.75056</v>
      </c>
    </row>
    <row r="207" spans="1:6" s="55" customFormat="1" ht="15.75" hidden="1" x14ac:dyDescent="0.25">
      <c r="A207" s="10" t="s">
        <v>73</v>
      </c>
      <c r="B207" s="191">
        <f>B208+B209</f>
        <v>51623.75056</v>
      </c>
      <c r="C207" s="191"/>
      <c r="D207" s="191">
        <f>D208+D209</f>
        <v>51623.75056</v>
      </c>
      <c r="E207" s="662"/>
      <c r="F207" s="192">
        <f>F208+F209</f>
        <v>51623.75056</v>
      </c>
    </row>
    <row r="208" spans="1:6" s="55" customFormat="1" ht="25.5" hidden="1" x14ac:dyDescent="0.25">
      <c r="A208" s="10" t="s">
        <v>405</v>
      </c>
      <c r="B208" s="191">
        <f>пр.4!G333</f>
        <v>1488.99845</v>
      </c>
      <c r="C208" s="191"/>
      <c r="D208" s="191">
        <f>пр.4!H333</f>
        <v>1488.99845</v>
      </c>
      <c r="E208" s="662"/>
      <c r="F208" s="192">
        <f>пр.4!I333</f>
        <v>1488.99845</v>
      </c>
    </row>
    <row r="209" spans="1:6" s="55" customFormat="1" ht="25.5" hidden="1" x14ac:dyDescent="0.25">
      <c r="A209" s="10" t="s">
        <v>331</v>
      </c>
      <c r="B209" s="191">
        <f>пр.4!G30</f>
        <v>50134.752110000001</v>
      </c>
      <c r="C209" s="191"/>
      <c r="D209" s="191">
        <f>пр.4!H30</f>
        <v>50134.752110000001</v>
      </c>
      <c r="E209" s="662"/>
      <c r="F209" s="192">
        <f>пр.4!I30</f>
        <v>50134.752110000001</v>
      </c>
    </row>
    <row r="210" spans="1:6" s="55" customFormat="1" ht="15.75" hidden="1" x14ac:dyDescent="0.25">
      <c r="A210" s="75" t="s">
        <v>31</v>
      </c>
      <c r="B210" s="191">
        <f>B211</f>
        <v>10152.274599999999</v>
      </c>
      <c r="C210" s="191"/>
      <c r="D210" s="191">
        <f>D211</f>
        <v>8576.7995999999985</v>
      </c>
      <c r="E210" s="662"/>
      <c r="F210" s="192">
        <f>F211</f>
        <v>9085.3916000000008</v>
      </c>
    </row>
    <row r="211" spans="1:6" s="55" customFormat="1" ht="15.75" hidden="1" x14ac:dyDescent="0.25">
      <c r="A211" s="10" t="s">
        <v>67</v>
      </c>
      <c r="B211" s="191">
        <f>B212+B213</f>
        <v>10152.274599999999</v>
      </c>
      <c r="C211" s="191"/>
      <c r="D211" s="191">
        <f>D212+D213</f>
        <v>8576.7995999999985</v>
      </c>
      <c r="E211" s="662"/>
      <c r="F211" s="192">
        <f>F212+F213</f>
        <v>9085.3916000000008</v>
      </c>
    </row>
    <row r="212" spans="1:6" s="55" customFormat="1" ht="25.5" hidden="1" x14ac:dyDescent="0.25">
      <c r="A212" s="10" t="s">
        <v>405</v>
      </c>
      <c r="B212" s="191">
        <f>пр.4!G335</f>
        <v>958.5</v>
      </c>
      <c r="C212" s="191"/>
      <c r="D212" s="191">
        <f>пр.4!H335</f>
        <v>660</v>
      </c>
      <c r="E212" s="662"/>
      <c r="F212" s="192">
        <f>пр.4!I335</f>
        <v>660</v>
      </c>
    </row>
    <row r="213" spans="1:6" s="55" customFormat="1" ht="25.5" hidden="1" x14ac:dyDescent="0.25">
      <c r="A213" s="10" t="s">
        <v>331</v>
      </c>
      <c r="B213" s="191">
        <f>пр.4!G32</f>
        <v>9193.7745999999988</v>
      </c>
      <c r="C213" s="191"/>
      <c r="D213" s="191">
        <f>пр.4!H32</f>
        <v>7916.7995999999994</v>
      </c>
      <c r="E213" s="662"/>
      <c r="F213" s="192">
        <f>пр.4!I32</f>
        <v>8425.3916000000008</v>
      </c>
    </row>
    <row r="214" spans="1:6" s="55" customFormat="1" ht="15.75" hidden="1" x14ac:dyDescent="0.25">
      <c r="A214" s="75" t="s">
        <v>33</v>
      </c>
      <c r="B214" s="191">
        <f t="shared" ref="B214:F215" si="38">B215</f>
        <v>491.79955000000001</v>
      </c>
      <c r="C214" s="191"/>
      <c r="D214" s="191">
        <f t="shared" si="38"/>
        <v>357</v>
      </c>
      <c r="E214" s="662"/>
      <c r="F214" s="192">
        <f t="shared" si="38"/>
        <v>357</v>
      </c>
    </row>
    <row r="215" spans="1:6" s="55" customFormat="1" ht="15.75" hidden="1" x14ac:dyDescent="0.25">
      <c r="A215" s="10" t="s">
        <v>76</v>
      </c>
      <c r="B215" s="191">
        <f t="shared" si="38"/>
        <v>491.79955000000001</v>
      </c>
      <c r="C215" s="191"/>
      <c r="D215" s="191">
        <f t="shared" si="38"/>
        <v>357</v>
      </c>
      <c r="E215" s="662"/>
      <c r="F215" s="192">
        <f t="shared" si="38"/>
        <v>357</v>
      </c>
    </row>
    <row r="216" spans="1:6" s="55" customFormat="1" ht="25.5" hidden="1" x14ac:dyDescent="0.25">
      <c r="A216" s="10" t="s">
        <v>331</v>
      </c>
      <c r="B216" s="191">
        <f>пр.4!G34</f>
        <v>491.79955000000001</v>
      </c>
      <c r="C216" s="191"/>
      <c r="D216" s="191">
        <f>пр.4!H34</f>
        <v>357</v>
      </c>
      <c r="E216" s="662"/>
      <c r="F216" s="192">
        <f>пр.4!I34</f>
        <v>357</v>
      </c>
    </row>
    <row r="217" spans="1:6" s="55" customFormat="1" ht="25.5" hidden="1" x14ac:dyDescent="0.25">
      <c r="A217" s="197" t="s">
        <v>17</v>
      </c>
      <c r="B217" s="191">
        <f>B219</f>
        <v>147.52000000000001</v>
      </c>
      <c r="C217" s="191"/>
      <c r="D217" s="191">
        <f>D219</f>
        <v>0</v>
      </c>
      <c r="E217" s="662"/>
      <c r="F217" s="192">
        <f>F219</f>
        <v>0</v>
      </c>
    </row>
    <row r="218" spans="1:6" s="55" customFormat="1" ht="15.75" hidden="1" x14ac:dyDescent="0.25">
      <c r="A218" s="198" t="s">
        <v>123</v>
      </c>
      <c r="B218" s="191">
        <f t="shared" ref="B218:F219" si="39">B219</f>
        <v>147.52000000000001</v>
      </c>
      <c r="C218" s="191"/>
      <c r="D218" s="191">
        <f t="shared" si="39"/>
        <v>0</v>
      </c>
      <c r="E218" s="662"/>
      <c r="F218" s="192">
        <f t="shared" si="39"/>
        <v>0</v>
      </c>
    </row>
    <row r="219" spans="1:6" s="55" customFormat="1" ht="15.75" hidden="1" x14ac:dyDescent="0.25">
      <c r="A219" s="10" t="s">
        <v>79</v>
      </c>
      <c r="B219" s="191">
        <f t="shared" si="39"/>
        <v>147.52000000000001</v>
      </c>
      <c r="C219" s="191"/>
      <c r="D219" s="191">
        <f t="shared" si="39"/>
        <v>0</v>
      </c>
      <c r="E219" s="662"/>
      <c r="F219" s="192">
        <f t="shared" si="39"/>
        <v>0</v>
      </c>
    </row>
    <row r="220" spans="1:6" s="55" customFormat="1" ht="25.5" hidden="1" x14ac:dyDescent="0.25">
      <c r="A220" s="10" t="s">
        <v>331</v>
      </c>
      <c r="B220" s="191">
        <f>пр.4!G40</f>
        <v>147.52000000000001</v>
      </c>
      <c r="C220" s="191"/>
      <c r="D220" s="191">
        <f>пр.4!H40</f>
        <v>0</v>
      </c>
      <c r="E220" s="662"/>
      <c r="F220" s="192">
        <f>пр.4!I40</f>
        <v>0</v>
      </c>
    </row>
    <row r="221" spans="1:6" s="55" customFormat="1" ht="25.5" hidden="1" x14ac:dyDescent="0.25">
      <c r="A221" s="197" t="s">
        <v>80</v>
      </c>
      <c r="B221" s="191">
        <f>B223</f>
        <v>762.7</v>
      </c>
      <c r="C221" s="191"/>
      <c r="D221" s="191">
        <f>D223</f>
        <v>0</v>
      </c>
      <c r="E221" s="662"/>
      <c r="F221" s="192">
        <f>F223</f>
        <v>0</v>
      </c>
    </row>
    <row r="222" spans="1:6" s="55" customFormat="1" ht="15.75" hidden="1" x14ac:dyDescent="0.25">
      <c r="A222" s="198" t="s">
        <v>123</v>
      </c>
      <c r="B222" s="191">
        <f t="shared" ref="B222:F223" si="40">B223</f>
        <v>762.7</v>
      </c>
      <c r="C222" s="191"/>
      <c r="D222" s="191">
        <f t="shared" si="40"/>
        <v>0</v>
      </c>
      <c r="E222" s="662"/>
      <c r="F222" s="192">
        <f t="shared" si="40"/>
        <v>0</v>
      </c>
    </row>
    <row r="223" spans="1:6" s="55" customFormat="1" ht="15.75" hidden="1" x14ac:dyDescent="0.25">
      <c r="A223" s="10" t="s">
        <v>79</v>
      </c>
      <c r="B223" s="191">
        <f t="shared" si="40"/>
        <v>762.7</v>
      </c>
      <c r="C223" s="191"/>
      <c r="D223" s="191">
        <f t="shared" si="40"/>
        <v>0</v>
      </c>
      <c r="E223" s="662"/>
      <c r="F223" s="192">
        <f t="shared" si="40"/>
        <v>0</v>
      </c>
    </row>
    <row r="224" spans="1:6" s="55" customFormat="1" ht="25.5" hidden="1" x14ac:dyDescent="0.25">
      <c r="A224" s="10" t="s">
        <v>331</v>
      </c>
      <c r="B224" s="191">
        <f>пр.4!G37</f>
        <v>762.7</v>
      </c>
      <c r="C224" s="191"/>
      <c r="D224" s="191">
        <f>пр.4!H37</f>
        <v>0</v>
      </c>
      <c r="E224" s="662"/>
      <c r="F224" s="192">
        <f>пр.4!I37</f>
        <v>0</v>
      </c>
    </row>
    <row r="225" spans="1:6" s="55" customFormat="1" ht="25.5" hidden="1" x14ac:dyDescent="0.25">
      <c r="A225" s="197" t="s">
        <v>7</v>
      </c>
      <c r="B225" s="191">
        <f>B227</f>
        <v>1419.704</v>
      </c>
      <c r="C225" s="191"/>
      <c r="D225" s="191">
        <f>D227</f>
        <v>0</v>
      </c>
      <c r="E225" s="662"/>
      <c r="F225" s="192">
        <f>F227</f>
        <v>0</v>
      </c>
    </row>
    <row r="226" spans="1:6" s="55" customFormat="1" ht="15.75" hidden="1" x14ac:dyDescent="0.25">
      <c r="A226" s="198" t="s">
        <v>123</v>
      </c>
      <c r="B226" s="191">
        <f t="shared" ref="B226:F227" si="41">B227</f>
        <v>1419.704</v>
      </c>
      <c r="C226" s="191"/>
      <c r="D226" s="191">
        <f t="shared" si="41"/>
        <v>0</v>
      </c>
      <c r="E226" s="662"/>
      <c r="F226" s="192">
        <f t="shared" si="41"/>
        <v>0</v>
      </c>
    </row>
    <row r="227" spans="1:6" s="55" customFormat="1" ht="15.75" hidden="1" x14ac:dyDescent="0.25">
      <c r="A227" s="10" t="s">
        <v>79</v>
      </c>
      <c r="B227" s="191">
        <f t="shared" si="41"/>
        <v>1419.704</v>
      </c>
      <c r="C227" s="191"/>
      <c r="D227" s="191">
        <f t="shared" si="41"/>
        <v>0</v>
      </c>
      <c r="E227" s="662"/>
      <c r="F227" s="192">
        <f t="shared" si="41"/>
        <v>0</v>
      </c>
    </row>
    <row r="228" spans="1:6" s="55" customFormat="1" ht="25.5" hidden="1" x14ac:dyDescent="0.25">
      <c r="A228" s="349" t="s">
        <v>6</v>
      </c>
      <c r="B228" s="191">
        <f>пр.4!G52</f>
        <v>1419.704</v>
      </c>
      <c r="C228" s="191"/>
      <c r="D228" s="191">
        <f>пр.4!H52</f>
        <v>0</v>
      </c>
      <c r="E228" s="662"/>
      <c r="F228" s="192">
        <f>пр.4!I52</f>
        <v>0</v>
      </c>
    </row>
    <row r="229" spans="1:6" s="202" customFormat="1" ht="25.5" hidden="1" x14ac:dyDescent="0.2">
      <c r="A229" s="199" t="s">
        <v>420</v>
      </c>
      <c r="B229" s="200">
        <f>B230+B233</f>
        <v>2998.7000000000003</v>
      </c>
      <c r="C229" s="200"/>
      <c r="D229" s="200">
        <f>D230+D233</f>
        <v>2998.7000000000003</v>
      </c>
      <c r="E229" s="664"/>
      <c r="F229" s="201">
        <f>F230+F233</f>
        <v>2998.7000000000003</v>
      </c>
    </row>
    <row r="230" spans="1:6" s="202" customFormat="1" ht="25.5" hidden="1" x14ac:dyDescent="0.2">
      <c r="A230" s="203" t="s">
        <v>27</v>
      </c>
      <c r="B230" s="200">
        <f t="shared" ref="B230:F231" si="42">B231</f>
        <v>2918.6680000000001</v>
      </c>
      <c r="C230" s="200"/>
      <c r="D230" s="200">
        <f t="shared" si="42"/>
        <v>2918.6680000000001</v>
      </c>
      <c r="E230" s="664"/>
      <c r="F230" s="201">
        <f t="shared" si="42"/>
        <v>2918.6680000000001</v>
      </c>
    </row>
    <row r="231" spans="1:6" s="202" customFormat="1" hidden="1" x14ac:dyDescent="0.2">
      <c r="A231" s="10" t="s">
        <v>73</v>
      </c>
      <c r="B231" s="200">
        <f t="shared" si="42"/>
        <v>2918.6680000000001</v>
      </c>
      <c r="C231" s="200"/>
      <c r="D231" s="200">
        <f t="shared" si="42"/>
        <v>2918.6680000000001</v>
      </c>
      <c r="E231" s="664"/>
      <c r="F231" s="201">
        <f t="shared" si="42"/>
        <v>2918.6680000000001</v>
      </c>
    </row>
    <row r="232" spans="1:6" s="202" customFormat="1" hidden="1" x14ac:dyDescent="0.2">
      <c r="A232" s="350" t="s">
        <v>144</v>
      </c>
      <c r="B232" s="200">
        <f>пр.4!G118</f>
        <v>2918.6680000000001</v>
      </c>
      <c r="C232" s="200"/>
      <c r="D232" s="200">
        <f>пр.4!H118</f>
        <v>2918.6680000000001</v>
      </c>
      <c r="E232" s="664"/>
      <c r="F232" s="201">
        <f>пр.4!I118</f>
        <v>2918.6680000000001</v>
      </c>
    </row>
    <row r="233" spans="1:6" s="202" customFormat="1" hidden="1" x14ac:dyDescent="0.2">
      <c r="A233" s="82" t="s">
        <v>31</v>
      </c>
      <c r="B233" s="200">
        <f t="shared" ref="B233:F234" si="43">B234</f>
        <v>80.031999999999996</v>
      </c>
      <c r="C233" s="200"/>
      <c r="D233" s="200">
        <f t="shared" si="43"/>
        <v>80.031999999999996</v>
      </c>
      <c r="E233" s="664"/>
      <c r="F233" s="201">
        <f t="shared" si="43"/>
        <v>80.031999999999996</v>
      </c>
    </row>
    <row r="234" spans="1:6" s="202" customFormat="1" hidden="1" x14ac:dyDescent="0.2">
      <c r="A234" s="10" t="s">
        <v>67</v>
      </c>
      <c r="B234" s="200">
        <f t="shared" si="43"/>
        <v>80.031999999999996</v>
      </c>
      <c r="C234" s="200"/>
      <c r="D234" s="200">
        <f t="shared" si="43"/>
        <v>80.031999999999996</v>
      </c>
      <c r="E234" s="664"/>
      <c r="F234" s="201">
        <f t="shared" si="43"/>
        <v>80.031999999999996</v>
      </c>
    </row>
    <row r="235" spans="1:6" s="202" customFormat="1" hidden="1" x14ac:dyDescent="0.2">
      <c r="A235" s="350" t="s">
        <v>144</v>
      </c>
      <c r="B235" s="200">
        <f>пр.4!G120</f>
        <v>80.031999999999996</v>
      </c>
      <c r="C235" s="200"/>
      <c r="D235" s="200">
        <f>пр.4!H120</f>
        <v>80.031999999999996</v>
      </c>
      <c r="E235" s="664"/>
      <c r="F235" s="201">
        <f>пр.4!I120</f>
        <v>80.031999999999996</v>
      </c>
    </row>
    <row r="236" spans="1:6" s="202" customFormat="1" ht="25.5" hidden="1" x14ac:dyDescent="0.2">
      <c r="A236" s="197" t="s">
        <v>146</v>
      </c>
      <c r="B236" s="191">
        <f>B238</f>
        <v>10.559999999999999</v>
      </c>
      <c r="C236" s="191"/>
      <c r="D236" s="191">
        <f>D238</f>
        <v>10.56</v>
      </c>
      <c r="E236" s="662"/>
      <c r="F236" s="192">
        <f>F238</f>
        <v>10.56</v>
      </c>
    </row>
    <row r="237" spans="1:6" s="202" customFormat="1" hidden="1" x14ac:dyDescent="0.2">
      <c r="A237" s="82" t="s">
        <v>31</v>
      </c>
      <c r="B237" s="191">
        <f t="shared" ref="B237:F238" si="44">B238</f>
        <v>10.559999999999999</v>
      </c>
      <c r="C237" s="191"/>
      <c r="D237" s="191">
        <f t="shared" si="44"/>
        <v>10.56</v>
      </c>
      <c r="E237" s="662"/>
      <c r="F237" s="192">
        <f t="shared" si="44"/>
        <v>10.56</v>
      </c>
    </row>
    <row r="238" spans="1:6" s="202" customFormat="1" hidden="1" x14ac:dyDescent="0.2">
      <c r="A238" s="10" t="s">
        <v>67</v>
      </c>
      <c r="B238" s="191">
        <f t="shared" si="44"/>
        <v>10.559999999999999</v>
      </c>
      <c r="C238" s="191"/>
      <c r="D238" s="191">
        <f t="shared" si="44"/>
        <v>10.56</v>
      </c>
      <c r="E238" s="662"/>
      <c r="F238" s="192">
        <f t="shared" si="44"/>
        <v>10.56</v>
      </c>
    </row>
    <row r="239" spans="1:6" s="202" customFormat="1" hidden="1" x14ac:dyDescent="0.2">
      <c r="A239" s="350" t="s">
        <v>144</v>
      </c>
      <c r="B239" s="191">
        <f>пр.4!G123</f>
        <v>10.559999999999999</v>
      </c>
      <c r="C239" s="191"/>
      <c r="D239" s="191">
        <f>пр.4!H123</f>
        <v>10.56</v>
      </c>
      <c r="E239" s="662"/>
      <c r="F239" s="192">
        <f>пр.4!I123</f>
        <v>10.56</v>
      </c>
    </row>
    <row r="240" spans="1:6" s="55" customFormat="1" ht="40.5" hidden="1" x14ac:dyDescent="0.25">
      <c r="A240" s="193" t="s">
        <v>432</v>
      </c>
      <c r="B240" s="204">
        <f t="shared" ref="B240:F241" si="45">SUM(B241)</f>
        <v>2771.5478699999999</v>
      </c>
      <c r="C240" s="204"/>
      <c r="D240" s="204">
        <f t="shared" si="45"/>
        <v>2771.5478699999999</v>
      </c>
      <c r="E240" s="665"/>
      <c r="F240" s="205">
        <f t="shared" si="45"/>
        <v>2771.5478699999999</v>
      </c>
    </row>
    <row r="241" spans="1:6" s="55" customFormat="1" ht="15.75" hidden="1" x14ac:dyDescent="0.25">
      <c r="A241" s="89" t="s">
        <v>13</v>
      </c>
      <c r="B241" s="206">
        <f t="shared" si="45"/>
        <v>2771.5478699999999</v>
      </c>
      <c r="C241" s="206"/>
      <c r="D241" s="206">
        <f t="shared" si="45"/>
        <v>2771.5478699999999</v>
      </c>
      <c r="E241" s="666"/>
      <c r="F241" s="207">
        <f t="shared" si="45"/>
        <v>2771.5478699999999</v>
      </c>
    </row>
    <row r="242" spans="1:6" s="55" customFormat="1" ht="25.5" hidden="1" x14ac:dyDescent="0.25">
      <c r="A242" s="9" t="s">
        <v>84</v>
      </c>
      <c r="B242" s="200">
        <f t="shared" ref="B242:F244" si="46">B243</f>
        <v>2771.5478699999999</v>
      </c>
      <c r="C242" s="200"/>
      <c r="D242" s="200">
        <f t="shared" si="46"/>
        <v>2771.5478699999999</v>
      </c>
      <c r="E242" s="664"/>
      <c r="F242" s="201">
        <f t="shared" si="46"/>
        <v>2771.5478699999999</v>
      </c>
    </row>
    <row r="243" spans="1:6" s="55" customFormat="1" ht="25.5" hidden="1" x14ac:dyDescent="0.25">
      <c r="A243" s="203" t="s">
        <v>27</v>
      </c>
      <c r="B243" s="200">
        <f t="shared" si="46"/>
        <v>2771.5478699999999</v>
      </c>
      <c r="C243" s="200"/>
      <c r="D243" s="200">
        <f t="shared" si="46"/>
        <v>2771.5478699999999</v>
      </c>
      <c r="E243" s="664"/>
      <c r="F243" s="201">
        <f t="shared" si="46"/>
        <v>2771.5478699999999</v>
      </c>
    </row>
    <row r="244" spans="1:6" s="55" customFormat="1" ht="15.75" hidden="1" x14ac:dyDescent="0.25">
      <c r="A244" s="10" t="s">
        <v>73</v>
      </c>
      <c r="B244" s="200">
        <f t="shared" si="46"/>
        <v>2771.5478699999999</v>
      </c>
      <c r="C244" s="200"/>
      <c r="D244" s="200">
        <f t="shared" si="46"/>
        <v>2771.5478699999999</v>
      </c>
      <c r="E244" s="664"/>
      <c r="F244" s="201">
        <f t="shared" si="46"/>
        <v>2771.5478699999999</v>
      </c>
    </row>
    <row r="245" spans="1:6" s="55" customFormat="1" ht="25.5" hidden="1" x14ac:dyDescent="0.25">
      <c r="A245" s="351" t="s">
        <v>331</v>
      </c>
      <c r="B245" s="208">
        <f>пр.4!G45</f>
        <v>2771.5478699999999</v>
      </c>
      <c r="C245" s="208"/>
      <c r="D245" s="208">
        <f>пр.4!H45</f>
        <v>2771.5478699999999</v>
      </c>
      <c r="E245" s="667"/>
      <c r="F245" s="209">
        <f>пр.4!I45</f>
        <v>2771.5478699999999</v>
      </c>
    </row>
    <row r="246" spans="1:6" s="55" customFormat="1" ht="16.5" hidden="1" thickBot="1" x14ac:dyDescent="0.3">
      <c r="A246" s="153" t="s">
        <v>86</v>
      </c>
      <c r="B246" s="211">
        <f t="shared" ref="B246:F247" si="47">SUM(B247)</f>
        <v>7178.4685099999997</v>
      </c>
      <c r="C246" s="211"/>
      <c r="D246" s="211">
        <f t="shared" si="47"/>
        <v>5383.8494999999994</v>
      </c>
      <c r="E246" s="668"/>
      <c r="F246" s="212">
        <f t="shared" si="47"/>
        <v>5832.3705</v>
      </c>
    </row>
    <row r="247" spans="1:6" s="55" customFormat="1" ht="15.75" hidden="1" x14ac:dyDescent="0.25">
      <c r="A247" s="213" t="s">
        <v>13</v>
      </c>
      <c r="B247" s="215">
        <f>SUM(B248)</f>
        <v>7178.4685099999997</v>
      </c>
      <c r="C247" s="215"/>
      <c r="D247" s="215">
        <f t="shared" si="47"/>
        <v>5383.8494999999994</v>
      </c>
      <c r="E247" s="669"/>
      <c r="F247" s="216">
        <f t="shared" si="47"/>
        <v>5832.3705</v>
      </c>
    </row>
    <row r="248" spans="1:6" s="55" customFormat="1" ht="15.75" hidden="1" x14ac:dyDescent="0.25">
      <c r="A248" s="89" t="s">
        <v>13</v>
      </c>
      <c r="B248" s="189">
        <f>SUM(B249)+B263</f>
        <v>7178.4685099999997</v>
      </c>
      <c r="C248" s="189"/>
      <c r="D248" s="189">
        <f>SUM(D249)+D263</f>
        <v>5383.8494999999994</v>
      </c>
      <c r="E248" s="661"/>
      <c r="F248" s="190">
        <f>SUM(F249)+F263</f>
        <v>5832.3705</v>
      </c>
    </row>
    <row r="249" spans="1:6" s="55" customFormat="1" ht="15.75" hidden="1" x14ac:dyDescent="0.25">
      <c r="A249" s="217" t="s">
        <v>90</v>
      </c>
      <c r="B249" s="191">
        <f>B250+B253+B258</f>
        <v>6678.4685099999997</v>
      </c>
      <c r="C249" s="191"/>
      <c r="D249" s="191">
        <f>D250+D253+D258</f>
        <v>4883.8494999999994</v>
      </c>
      <c r="E249" s="662"/>
      <c r="F249" s="192">
        <f>F250+F253+F258</f>
        <v>5332.3705</v>
      </c>
    </row>
    <row r="250" spans="1:6" s="55" customFormat="1" ht="15.75" hidden="1" x14ac:dyDescent="0.25">
      <c r="A250" s="75" t="s">
        <v>31</v>
      </c>
      <c r="B250" s="191">
        <f t="shared" ref="B250:F251" si="48">B251</f>
        <v>4235.9920099999999</v>
      </c>
      <c r="C250" s="191"/>
      <c r="D250" s="191">
        <f t="shared" si="48"/>
        <v>4437.8999999999996</v>
      </c>
      <c r="E250" s="662"/>
      <c r="F250" s="192">
        <f t="shared" si="48"/>
        <v>4851.6899999999996</v>
      </c>
    </row>
    <row r="251" spans="1:6" s="55" customFormat="1" ht="15.75" hidden="1" x14ac:dyDescent="0.25">
      <c r="A251" s="10" t="s">
        <v>67</v>
      </c>
      <c r="B251" s="191">
        <f t="shared" si="48"/>
        <v>4235.9920099999999</v>
      </c>
      <c r="C251" s="191"/>
      <c r="D251" s="191">
        <f t="shared" si="48"/>
        <v>4437.8999999999996</v>
      </c>
      <c r="E251" s="662"/>
      <c r="F251" s="192">
        <f t="shared" si="48"/>
        <v>4851.6899999999996</v>
      </c>
    </row>
    <row r="252" spans="1:6" s="55" customFormat="1" ht="15.75" hidden="1" x14ac:dyDescent="0.25">
      <c r="A252" s="352" t="s">
        <v>92</v>
      </c>
      <c r="B252" s="191">
        <f>пр.4!G66</f>
        <v>4235.9920099999999</v>
      </c>
      <c r="C252" s="191"/>
      <c r="D252" s="191">
        <f>пр.4!H66</f>
        <v>4437.8999999999996</v>
      </c>
      <c r="E252" s="662"/>
      <c r="F252" s="192">
        <f>пр.4!I66</f>
        <v>4851.6899999999996</v>
      </c>
    </row>
    <row r="253" spans="1:6" s="55" customFormat="1" ht="15.75" hidden="1" x14ac:dyDescent="0.25">
      <c r="A253" s="9" t="s">
        <v>39</v>
      </c>
      <c r="B253" s="191">
        <f>B254+B256</f>
        <v>342.47649999999999</v>
      </c>
      <c r="C253" s="191"/>
      <c r="D253" s="191">
        <f>D254+D256</f>
        <v>369.56950000000001</v>
      </c>
      <c r="E253" s="662"/>
      <c r="F253" s="192">
        <f>F254+F256</f>
        <v>396.66250000000002</v>
      </c>
    </row>
    <row r="254" spans="1:6" s="55" customFormat="1" ht="15.75" hidden="1" x14ac:dyDescent="0.25">
      <c r="A254" s="10" t="s">
        <v>135</v>
      </c>
      <c r="B254" s="191">
        <f>B255</f>
        <v>284.47649999999999</v>
      </c>
      <c r="C254" s="191"/>
      <c r="D254" s="191">
        <f>D255</f>
        <v>311.56950000000001</v>
      </c>
      <c r="E254" s="662"/>
      <c r="F254" s="192">
        <f>F255</f>
        <v>338.66250000000002</v>
      </c>
    </row>
    <row r="255" spans="1:6" s="55" customFormat="1" ht="15.75" hidden="1" x14ac:dyDescent="0.25">
      <c r="A255" s="352" t="s">
        <v>92</v>
      </c>
      <c r="B255" s="191">
        <f>пр.4!G68</f>
        <v>284.47649999999999</v>
      </c>
      <c r="C255" s="191"/>
      <c r="D255" s="191">
        <f>пр.4!H68</f>
        <v>311.56950000000001</v>
      </c>
      <c r="E255" s="662"/>
      <c r="F255" s="192">
        <f>пр.4!I68</f>
        <v>338.66250000000002</v>
      </c>
    </row>
    <row r="256" spans="1:6" s="55" customFormat="1" ht="15.75" hidden="1" x14ac:dyDescent="0.25">
      <c r="A256" s="10" t="s">
        <v>469</v>
      </c>
      <c r="B256" s="191">
        <f>B257</f>
        <v>58</v>
      </c>
      <c r="C256" s="191"/>
      <c r="D256" s="191">
        <f>D257</f>
        <v>58</v>
      </c>
      <c r="E256" s="662"/>
      <c r="F256" s="192">
        <f>F257</f>
        <v>58</v>
      </c>
    </row>
    <row r="257" spans="1:6" s="55" customFormat="1" ht="15.75" hidden="1" x14ac:dyDescent="0.25">
      <c r="A257" s="352" t="s">
        <v>92</v>
      </c>
      <c r="B257" s="191">
        <f>пр.4!G69</f>
        <v>58</v>
      </c>
      <c r="C257" s="191"/>
      <c r="D257" s="191">
        <f>пр.4!H69</f>
        <v>58</v>
      </c>
      <c r="E257" s="662"/>
      <c r="F257" s="192">
        <f>пр.4!I69</f>
        <v>58</v>
      </c>
    </row>
    <row r="258" spans="1:6" s="55" customFormat="1" ht="15.75" hidden="1" x14ac:dyDescent="0.25">
      <c r="A258" s="75" t="s">
        <v>33</v>
      </c>
      <c r="B258" s="191">
        <f>B259+B261</f>
        <v>2100</v>
      </c>
      <c r="C258" s="191"/>
      <c r="D258" s="191">
        <f>D259+D261</f>
        <v>76.38</v>
      </c>
      <c r="E258" s="662"/>
      <c r="F258" s="192">
        <f>F259+F261</f>
        <v>84.018000000000001</v>
      </c>
    </row>
    <row r="259" spans="1:6" s="55" customFormat="1" ht="15.75" hidden="1" x14ac:dyDescent="0.25">
      <c r="A259" s="10" t="s">
        <v>152</v>
      </c>
      <c r="B259" s="191">
        <f>B260</f>
        <v>2000</v>
      </c>
      <c r="C259" s="191"/>
      <c r="D259" s="191">
        <f>D260</f>
        <v>0</v>
      </c>
      <c r="E259" s="662"/>
      <c r="F259" s="192">
        <f>F260</f>
        <v>0</v>
      </c>
    </row>
    <row r="260" spans="1:6" s="55" customFormat="1" ht="15.75" hidden="1" x14ac:dyDescent="0.25">
      <c r="A260" s="352" t="s">
        <v>92</v>
      </c>
      <c r="B260" s="191">
        <f>пр.4!G71</f>
        <v>2000</v>
      </c>
      <c r="C260" s="191"/>
      <c r="D260" s="191">
        <f>пр.4!H71</f>
        <v>0</v>
      </c>
      <c r="E260" s="662"/>
      <c r="F260" s="192">
        <f>пр.4!I71</f>
        <v>0</v>
      </c>
    </row>
    <row r="261" spans="1:6" s="55" customFormat="1" ht="15.75" hidden="1" x14ac:dyDescent="0.25">
      <c r="A261" s="10" t="s">
        <v>76</v>
      </c>
      <c r="B261" s="191">
        <f>B262</f>
        <v>100</v>
      </c>
      <c r="C261" s="191"/>
      <c r="D261" s="191">
        <f>D262</f>
        <v>76.38</v>
      </c>
      <c r="E261" s="662"/>
      <c r="F261" s="192">
        <f>F262</f>
        <v>84.018000000000001</v>
      </c>
    </row>
    <row r="262" spans="1:6" s="55" customFormat="1" ht="15.75" hidden="1" x14ac:dyDescent="0.25">
      <c r="A262" s="352" t="s">
        <v>92</v>
      </c>
      <c r="B262" s="191">
        <f>пр.4!G72</f>
        <v>100</v>
      </c>
      <c r="C262" s="191"/>
      <c r="D262" s="191">
        <f>пр.4!H72</f>
        <v>76.38</v>
      </c>
      <c r="E262" s="662"/>
      <c r="F262" s="192">
        <f>пр.4!I72</f>
        <v>84.018000000000001</v>
      </c>
    </row>
    <row r="263" spans="1:6" s="55" customFormat="1" ht="15.75" hidden="1" x14ac:dyDescent="0.25">
      <c r="A263" s="217" t="s">
        <v>325</v>
      </c>
      <c r="B263" s="191">
        <f t="shared" ref="B263:F265" si="49">B264</f>
        <v>500</v>
      </c>
      <c r="C263" s="191"/>
      <c r="D263" s="191">
        <f t="shared" si="49"/>
        <v>500</v>
      </c>
      <c r="E263" s="662"/>
      <c r="F263" s="192">
        <f t="shared" si="49"/>
        <v>500</v>
      </c>
    </row>
    <row r="264" spans="1:6" s="55" customFormat="1" ht="15.75" hidden="1" x14ac:dyDescent="0.25">
      <c r="A264" s="75" t="s">
        <v>31</v>
      </c>
      <c r="B264" s="191">
        <f t="shared" si="49"/>
        <v>500</v>
      </c>
      <c r="C264" s="191"/>
      <c r="D264" s="191">
        <f t="shared" si="49"/>
        <v>500</v>
      </c>
      <c r="E264" s="662"/>
      <c r="F264" s="192">
        <f t="shared" si="49"/>
        <v>500</v>
      </c>
    </row>
    <row r="265" spans="1:6" s="55" customFormat="1" ht="15.75" hidden="1" x14ac:dyDescent="0.25">
      <c r="A265" s="10" t="s">
        <v>67</v>
      </c>
      <c r="B265" s="191">
        <f t="shared" si="49"/>
        <v>500</v>
      </c>
      <c r="C265" s="191"/>
      <c r="D265" s="191">
        <f t="shared" si="49"/>
        <v>500</v>
      </c>
      <c r="E265" s="662"/>
      <c r="F265" s="192">
        <f t="shared" si="49"/>
        <v>500</v>
      </c>
    </row>
    <row r="266" spans="1:6" s="55" customFormat="1" ht="15.75" hidden="1" x14ac:dyDescent="0.25">
      <c r="A266" s="351" t="s">
        <v>92</v>
      </c>
      <c r="B266" s="219">
        <f>пр.4!G75</f>
        <v>500</v>
      </c>
      <c r="C266" s="219"/>
      <c r="D266" s="219">
        <f>пр.4!H75</f>
        <v>500</v>
      </c>
      <c r="E266" s="670"/>
      <c r="F266" s="220">
        <f>пр.4!I75</f>
        <v>500</v>
      </c>
    </row>
    <row r="267" spans="1:6" s="55" customFormat="1" ht="26.25" hidden="1" thickBot="1" x14ac:dyDescent="0.3">
      <c r="A267" s="153" t="s">
        <v>401</v>
      </c>
      <c r="B267" s="211">
        <f t="shared" ref="B267:F268" si="50">B268</f>
        <v>17668.620620000002</v>
      </c>
      <c r="C267" s="211"/>
      <c r="D267" s="211">
        <f t="shared" si="50"/>
        <v>15187.503362000001</v>
      </c>
      <c r="E267" s="668"/>
      <c r="F267" s="212">
        <f t="shared" si="50"/>
        <v>16095.607444000001</v>
      </c>
    </row>
    <row r="268" spans="1:6" s="55" customFormat="1" ht="15.75" hidden="1" x14ac:dyDescent="0.25">
      <c r="A268" s="213" t="s">
        <v>13</v>
      </c>
      <c r="B268" s="215">
        <f t="shared" si="50"/>
        <v>17668.620620000002</v>
      </c>
      <c r="C268" s="215"/>
      <c r="D268" s="215">
        <f t="shared" si="50"/>
        <v>15187.503362000001</v>
      </c>
      <c r="E268" s="669"/>
      <c r="F268" s="216">
        <f t="shared" si="50"/>
        <v>16095.607444000001</v>
      </c>
    </row>
    <row r="269" spans="1:6" s="55" customFormat="1" ht="15.75" hidden="1" x14ac:dyDescent="0.25">
      <c r="A269" s="89" t="s">
        <v>13</v>
      </c>
      <c r="B269" s="189">
        <f>B270+B282+B274+B278+B293+B297+B301+B305+B309+B289</f>
        <v>17668.620620000002</v>
      </c>
      <c r="C269" s="189"/>
      <c r="D269" s="189">
        <f>D270+D282+D274+D278+D293+D297+D301+D305+D309+D289</f>
        <v>15187.503362000001</v>
      </c>
      <c r="E269" s="661"/>
      <c r="F269" s="190">
        <f>F270+F282+F274+F278+F293+F297+F301+F305+F309+F289</f>
        <v>16095.607444000001</v>
      </c>
    </row>
    <row r="270" spans="1:6" s="55" customFormat="1" ht="15.75" hidden="1" x14ac:dyDescent="0.25">
      <c r="A270" s="9" t="s">
        <v>425</v>
      </c>
      <c r="B270" s="191">
        <f t="shared" ref="B270:F272" si="51">B271</f>
        <v>1000</v>
      </c>
      <c r="C270" s="191"/>
      <c r="D270" s="191">
        <f t="shared" si="51"/>
        <v>1000</v>
      </c>
      <c r="E270" s="662"/>
      <c r="F270" s="192">
        <f t="shared" si="51"/>
        <v>1000</v>
      </c>
    </row>
    <row r="271" spans="1:6" s="55" customFormat="1" ht="15.75" hidden="1" x14ac:dyDescent="0.25">
      <c r="A271" s="75" t="s">
        <v>33</v>
      </c>
      <c r="B271" s="191">
        <f t="shared" si="51"/>
        <v>1000</v>
      </c>
      <c r="C271" s="191"/>
      <c r="D271" s="191">
        <f t="shared" si="51"/>
        <v>1000</v>
      </c>
      <c r="E271" s="662"/>
      <c r="F271" s="192">
        <f t="shared" si="51"/>
        <v>1000</v>
      </c>
    </row>
    <row r="272" spans="1:6" s="55" customFormat="1" ht="15.75" hidden="1" x14ac:dyDescent="0.25">
      <c r="A272" s="10" t="s">
        <v>98</v>
      </c>
      <c r="B272" s="191">
        <f t="shared" si="51"/>
        <v>1000</v>
      </c>
      <c r="C272" s="191"/>
      <c r="D272" s="191">
        <f t="shared" si="51"/>
        <v>1000</v>
      </c>
      <c r="E272" s="662"/>
      <c r="F272" s="192">
        <f t="shared" si="51"/>
        <v>1000</v>
      </c>
    </row>
    <row r="273" spans="1:6" s="55" customFormat="1" ht="15.75" hidden="1" x14ac:dyDescent="0.25">
      <c r="A273" s="10" t="s">
        <v>100</v>
      </c>
      <c r="B273" s="191">
        <f>пр.4!G59</f>
        <v>1000</v>
      </c>
      <c r="C273" s="191"/>
      <c r="D273" s="191">
        <f>пр.4!H59</f>
        <v>1000</v>
      </c>
      <c r="E273" s="662"/>
      <c r="F273" s="192">
        <f>пр.4!I59</f>
        <v>1000</v>
      </c>
    </row>
    <row r="274" spans="1:6" s="55" customFormat="1" ht="15.75" hidden="1" x14ac:dyDescent="0.25">
      <c r="A274" s="9" t="s">
        <v>103</v>
      </c>
      <c r="B274" s="191">
        <f>B276</f>
        <v>2000</v>
      </c>
      <c r="C274" s="191"/>
      <c r="D274" s="191">
        <f>D276</f>
        <v>550</v>
      </c>
      <c r="E274" s="662"/>
      <c r="F274" s="192">
        <f>F276</f>
        <v>500</v>
      </c>
    </row>
    <row r="275" spans="1:6" s="55" customFormat="1" ht="15.75" hidden="1" x14ac:dyDescent="0.25">
      <c r="A275" s="75" t="s">
        <v>31</v>
      </c>
      <c r="B275" s="191">
        <f t="shared" ref="B275:F276" si="52">B276</f>
        <v>2000</v>
      </c>
      <c r="C275" s="191"/>
      <c r="D275" s="191">
        <f t="shared" si="52"/>
        <v>550</v>
      </c>
      <c r="E275" s="662"/>
      <c r="F275" s="192">
        <f t="shared" si="52"/>
        <v>500</v>
      </c>
    </row>
    <row r="276" spans="1:6" s="55" customFormat="1" ht="15.75" hidden="1" x14ac:dyDescent="0.25">
      <c r="A276" s="10" t="s">
        <v>67</v>
      </c>
      <c r="B276" s="191">
        <f t="shared" si="52"/>
        <v>2000</v>
      </c>
      <c r="C276" s="191"/>
      <c r="D276" s="191">
        <f t="shared" si="52"/>
        <v>550</v>
      </c>
      <c r="E276" s="662"/>
      <c r="F276" s="192">
        <f t="shared" si="52"/>
        <v>500</v>
      </c>
    </row>
    <row r="277" spans="1:6" s="55" customFormat="1" ht="15.75" hidden="1" x14ac:dyDescent="0.25">
      <c r="A277" s="10" t="s">
        <v>35</v>
      </c>
      <c r="B277" s="191">
        <f>пр.4!G163</f>
        <v>2000</v>
      </c>
      <c r="C277" s="191"/>
      <c r="D277" s="191">
        <f>пр.4!H163</f>
        <v>550</v>
      </c>
      <c r="E277" s="662"/>
      <c r="F277" s="192">
        <f>пр.4!I163</f>
        <v>500</v>
      </c>
    </row>
    <row r="278" spans="1:6" s="55" customFormat="1" ht="15.75" hidden="1" x14ac:dyDescent="0.25">
      <c r="A278" s="9" t="s">
        <v>105</v>
      </c>
      <c r="B278" s="191">
        <f t="shared" ref="B278:F280" si="53">B279</f>
        <v>200</v>
      </c>
      <c r="C278" s="191"/>
      <c r="D278" s="191">
        <f t="shared" si="53"/>
        <v>0</v>
      </c>
      <c r="E278" s="662"/>
      <c r="F278" s="192">
        <f t="shared" si="53"/>
        <v>0</v>
      </c>
    </row>
    <row r="279" spans="1:6" s="55" customFormat="1" ht="15.75" hidden="1" x14ac:dyDescent="0.25">
      <c r="A279" s="75" t="s">
        <v>31</v>
      </c>
      <c r="B279" s="191">
        <f t="shared" si="53"/>
        <v>200</v>
      </c>
      <c r="C279" s="191"/>
      <c r="D279" s="191">
        <f t="shared" si="53"/>
        <v>0</v>
      </c>
      <c r="E279" s="662"/>
      <c r="F279" s="192">
        <f t="shared" si="53"/>
        <v>0</v>
      </c>
    </row>
    <row r="280" spans="1:6" s="55" customFormat="1" ht="15.75" hidden="1" x14ac:dyDescent="0.25">
      <c r="A280" s="10" t="s">
        <v>67</v>
      </c>
      <c r="B280" s="191">
        <f t="shared" si="53"/>
        <v>200</v>
      </c>
      <c r="C280" s="191"/>
      <c r="D280" s="191">
        <f t="shared" si="53"/>
        <v>0</v>
      </c>
      <c r="E280" s="662"/>
      <c r="F280" s="192">
        <f t="shared" si="53"/>
        <v>0</v>
      </c>
    </row>
    <row r="281" spans="1:6" s="55" customFormat="1" ht="15.75" hidden="1" x14ac:dyDescent="0.25">
      <c r="A281" s="10" t="s">
        <v>35</v>
      </c>
      <c r="B281" s="191">
        <f>пр.4!G166</f>
        <v>200</v>
      </c>
      <c r="C281" s="191"/>
      <c r="D281" s="191">
        <f>пр.4!H166</f>
        <v>0</v>
      </c>
      <c r="E281" s="662"/>
      <c r="F281" s="192">
        <f>пр.4!I166</f>
        <v>0</v>
      </c>
    </row>
    <row r="282" spans="1:6" s="55" customFormat="1" ht="25.5" hidden="1" x14ac:dyDescent="0.25">
      <c r="A282" s="9" t="s">
        <v>415</v>
      </c>
      <c r="B282" s="191">
        <f>B283+B286</f>
        <v>2263.8000000000002</v>
      </c>
      <c r="C282" s="191"/>
      <c r="D282" s="191">
        <f>D283+D286</f>
        <v>2517</v>
      </c>
      <c r="E282" s="662"/>
      <c r="F282" s="192">
        <f>F283+F286</f>
        <v>3185.6</v>
      </c>
    </row>
    <row r="283" spans="1:6" s="55" customFormat="1" ht="25.5" hidden="1" x14ac:dyDescent="0.25">
      <c r="A283" s="203" t="s">
        <v>27</v>
      </c>
      <c r="B283" s="191">
        <f t="shared" ref="B283:F284" si="54">B284</f>
        <v>2188.5940000000001</v>
      </c>
      <c r="C283" s="191"/>
      <c r="D283" s="191">
        <f t="shared" si="54"/>
        <v>2432.5300000000002</v>
      </c>
      <c r="E283" s="662"/>
      <c r="F283" s="192">
        <f t="shared" si="54"/>
        <v>3092.6</v>
      </c>
    </row>
    <row r="284" spans="1:6" s="55" customFormat="1" ht="15.75" hidden="1" x14ac:dyDescent="0.25">
      <c r="A284" s="10" t="s">
        <v>73</v>
      </c>
      <c r="B284" s="191">
        <f t="shared" si="54"/>
        <v>2188.5940000000001</v>
      </c>
      <c r="C284" s="191"/>
      <c r="D284" s="191">
        <f t="shared" si="54"/>
        <v>2432.5300000000002</v>
      </c>
      <c r="E284" s="662"/>
      <c r="F284" s="192">
        <f t="shared" si="54"/>
        <v>3092.6</v>
      </c>
    </row>
    <row r="285" spans="1:6" s="55" customFormat="1" ht="15.75" hidden="1" x14ac:dyDescent="0.25">
      <c r="A285" s="10" t="s">
        <v>102</v>
      </c>
      <c r="B285" s="221">
        <f>пр.4!G83</f>
        <v>2188.5940000000001</v>
      </c>
      <c r="C285" s="221"/>
      <c r="D285" s="221">
        <f>пр.4!H83</f>
        <v>2432.5300000000002</v>
      </c>
      <c r="E285" s="671"/>
      <c r="F285" s="222">
        <f>пр.4!I83</f>
        <v>3092.6</v>
      </c>
    </row>
    <row r="286" spans="1:6" s="55" customFormat="1" ht="15.75" hidden="1" x14ac:dyDescent="0.25">
      <c r="A286" s="75" t="s">
        <v>31</v>
      </c>
      <c r="B286" s="191">
        <f t="shared" ref="B286:F287" si="55">B287</f>
        <v>75.206000000000003</v>
      </c>
      <c r="C286" s="191"/>
      <c r="D286" s="191">
        <f t="shared" si="55"/>
        <v>84.47</v>
      </c>
      <c r="E286" s="662"/>
      <c r="F286" s="192">
        <f t="shared" si="55"/>
        <v>93</v>
      </c>
    </row>
    <row r="287" spans="1:6" s="55" customFormat="1" ht="15.75" hidden="1" x14ac:dyDescent="0.25">
      <c r="A287" s="10" t="s">
        <v>67</v>
      </c>
      <c r="B287" s="191">
        <f t="shared" si="55"/>
        <v>75.206000000000003</v>
      </c>
      <c r="C287" s="191"/>
      <c r="D287" s="191">
        <f t="shared" si="55"/>
        <v>84.47</v>
      </c>
      <c r="E287" s="662"/>
      <c r="F287" s="192">
        <f t="shared" si="55"/>
        <v>93</v>
      </c>
    </row>
    <row r="288" spans="1:6" s="55" customFormat="1" ht="15.75" hidden="1" x14ac:dyDescent="0.25">
      <c r="A288" s="10" t="s">
        <v>102</v>
      </c>
      <c r="B288" s="191">
        <f>пр.4!G85</f>
        <v>75.206000000000003</v>
      </c>
      <c r="C288" s="191"/>
      <c r="D288" s="191">
        <f>пр.4!H85</f>
        <v>84.47</v>
      </c>
      <c r="E288" s="662"/>
      <c r="F288" s="192">
        <f>пр.4!I85</f>
        <v>93</v>
      </c>
    </row>
    <row r="289" spans="1:6" s="55" customFormat="1" ht="38.25" hidden="1" x14ac:dyDescent="0.25">
      <c r="A289" s="197" t="s">
        <v>421</v>
      </c>
      <c r="B289" s="191">
        <f>B290</f>
        <v>497.589</v>
      </c>
      <c r="C289" s="191"/>
      <c r="D289" s="191">
        <f t="shared" ref="D289:F291" si="56">D290</f>
        <v>0</v>
      </c>
      <c r="E289" s="662"/>
      <c r="F289" s="192">
        <f t="shared" si="56"/>
        <v>0</v>
      </c>
    </row>
    <row r="290" spans="1:6" s="55" customFormat="1" ht="15.75" hidden="1" x14ac:dyDescent="0.25">
      <c r="A290" s="9" t="s">
        <v>31</v>
      </c>
      <c r="B290" s="191">
        <f>B291</f>
        <v>497.589</v>
      </c>
      <c r="C290" s="191"/>
      <c r="D290" s="191">
        <f t="shared" si="56"/>
        <v>0</v>
      </c>
      <c r="E290" s="662"/>
      <c r="F290" s="192">
        <f t="shared" si="56"/>
        <v>0</v>
      </c>
    </row>
    <row r="291" spans="1:6" s="55" customFormat="1" ht="15.75" hidden="1" x14ac:dyDescent="0.25">
      <c r="A291" s="10" t="s">
        <v>67</v>
      </c>
      <c r="B291" s="191">
        <f>B292</f>
        <v>497.589</v>
      </c>
      <c r="C291" s="191"/>
      <c r="D291" s="191">
        <f t="shared" si="56"/>
        <v>0</v>
      </c>
      <c r="E291" s="662"/>
      <c r="F291" s="192">
        <f t="shared" si="56"/>
        <v>0</v>
      </c>
    </row>
    <row r="292" spans="1:6" s="55" customFormat="1" ht="15.75" hidden="1" x14ac:dyDescent="0.25">
      <c r="A292" s="10" t="s">
        <v>144</v>
      </c>
      <c r="B292" s="191">
        <f>пр.4!G129</f>
        <v>497.589</v>
      </c>
      <c r="C292" s="191"/>
      <c r="D292" s="191">
        <f>пр.4!H129</f>
        <v>0</v>
      </c>
      <c r="E292" s="662"/>
      <c r="F292" s="192">
        <f>пр.4!I129</f>
        <v>0</v>
      </c>
    </row>
    <row r="293" spans="1:6" s="55" customFormat="1" ht="25.5" hidden="1" x14ac:dyDescent="0.25">
      <c r="A293" s="9" t="s">
        <v>154</v>
      </c>
      <c r="B293" s="191">
        <f t="shared" ref="B293:F295" si="57">B294</f>
        <v>469.86419999999998</v>
      </c>
      <c r="C293" s="191"/>
      <c r="D293" s="191">
        <f t="shared" si="57"/>
        <v>0</v>
      </c>
      <c r="E293" s="662"/>
      <c r="F293" s="192">
        <f t="shared" si="57"/>
        <v>0</v>
      </c>
    </row>
    <row r="294" spans="1:6" s="55" customFormat="1" ht="15.75" hidden="1" x14ac:dyDescent="0.25">
      <c r="A294" s="9" t="s">
        <v>123</v>
      </c>
      <c r="B294" s="191">
        <f t="shared" si="57"/>
        <v>469.86419999999998</v>
      </c>
      <c r="C294" s="191"/>
      <c r="D294" s="191">
        <f t="shared" si="57"/>
        <v>0</v>
      </c>
      <c r="E294" s="662"/>
      <c r="F294" s="192">
        <f t="shared" si="57"/>
        <v>0</v>
      </c>
    </row>
    <row r="295" spans="1:6" s="55" customFormat="1" ht="15.75" hidden="1" x14ac:dyDescent="0.25">
      <c r="A295" s="10" t="s">
        <v>79</v>
      </c>
      <c r="B295" s="191">
        <f t="shared" si="57"/>
        <v>469.86419999999998</v>
      </c>
      <c r="C295" s="191"/>
      <c r="D295" s="191">
        <f t="shared" si="57"/>
        <v>0</v>
      </c>
      <c r="E295" s="662"/>
      <c r="F295" s="192">
        <f t="shared" si="57"/>
        <v>0</v>
      </c>
    </row>
    <row r="296" spans="1:6" s="55" customFormat="1" ht="15.75" hidden="1" x14ac:dyDescent="0.25">
      <c r="A296" s="10" t="s">
        <v>35</v>
      </c>
      <c r="B296" s="191">
        <f>пр.4!G172</f>
        <v>469.86419999999998</v>
      </c>
      <c r="C296" s="191"/>
      <c r="D296" s="191">
        <f>пр.4!H172</f>
        <v>0</v>
      </c>
      <c r="E296" s="662"/>
      <c r="F296" s="192">
        <f>пр.4!I172</f>
        <v>0</v>
      </c>
    </row>
    <row r="297" spans="1:6" s="55" customFormat="1" ht="15.75" hidden="1" x14ac:dyDescent="0.25">
      <c r="A297" s="9" t="s">
        <v>107</v>
      </c>
      <c r="B297" s="191">
        <f>B299</f>
        <v>600</v>
      </c>
      <c r="C297" s="191"/>
      <c r="D297" s="191">
        <f>D299</f>
        <v>400</v>
      </c>
      <c r="E297" s="662"/>
      <c r="F297" s="192">
        <f>F299</f>
        <v>400</v>
      </c>
    </row>
    <row r="298" spans="1:6" s="55" customFormat="1" ht="15.75" hidden="1" x14ac:dyDescent="0.25">
      <c r="A298" s="75" t="s">
        <v>31</v>
      </c>
      <c r="B298" s="191">
        <f t="shared" ref="B298:F299" si="58">B299</f>
        <v>600</v>
      </c>
      <c r="C298" s="191"/>
      <c r="D298" s="191">
        <f t="shared" si="58"/>
        <v>400</v>
      </c>
      <c r="E298" s="662"/>
      <c r="F298" s="192">
        <f t="shared" si="58"/>
        <v>400</v>
      </c>
    </row>
    <row r="299" spans="1:6" s="55" customFormat="1" ht="15.75" hidden="1" x14ac:dyDescent="0.25">
      <c r="A299" s="10" t="s">
        <v>67</v>
      </c>
      <c r="B299" s="191">
        <f t="shared" si="58"/>
        <v>600</v>
      </c>
      <c r="C299" s="191"/>
      <c r="D299" s="191">
        <f t="shared" si="58"/>
        <v>400</v>
      </c>
      <c r="E299" s="662"/>
      <c r="F299" s="192">
        <f t="shared" si="58"/>
        <v>400</v>
      </c>
    </row>
    <row r="300" spans="1:6" s="55" customFormat="1" ht="15.75" hidden="1" x14ac:dyDescent="0.25">
      <c r="A300" s="128" t="s">
        <v>35</v>
      </c>
      <c r="B300" s="191">
        <f>пр.4!G169</f>
        <v>600</v>
      </c>
      <c r="C300" s="191"/>
      <c r="D300" s="191">
        <f>пр.4!H169</f>
        <v>400</v>
      </c>
      <c r="E300" s="662"/>
      <c r="F300" s="192">
        <f>пр.4!I169</f>
        <v>400</v>
      </c>
    </row>
    <row r="301" spans="1:6" s="55" customFormat="1" ht="15.75" hidden="1" x14ac:dyDescent="0.25">
      <c r="A301" s="9" t="s">
        <v>130</v>
      </c>
      <c r="B301" s="191">
        <f>B303</f>
        <v>7185.4432800000004</v>
      </c>
      <c r="C301" s="191"/>
      <c r="D301" s="191">
        <f>D303</f>
        <v>7365.0793619999995</v>
      </c>
      <c r="E301" s="662"/>
      <c r="F301" s="192">
        <f>F303</f>
        <v>7544.7154440000004</v>
      </c>
    </row>
    <row r="302" spans="1:6" s="55" customFormat="1" ht="15.75" hidden="1" x14ac:dyDescent="0.25">
      <c r="A302" s="75" t="s">
        <v>31</v>
      </c>
      <c r="B302" s="191">
        <f t="shared" ref="B302:F303" si="59">B303</f>
        <v>7185.4432800000004</v>
      </c>
      <c r="C302" s="191"/>
      <c r="D302" s="191">
        <f t="shared" si="59"/>
        <v>7365.0793619999995</v>
      </c>
      <c r="E302" s="662"/>
      <c r="F302" s="192">
        <f t="shared" si="59"/>
        <v>7544.7154440000004</v>
      </c>
    </row>
    <row r="303" spans="1:6" s="55" customFormat="1" ht="15.75" hidden="1" x14ac:dyDescent="0.25">
      <c r="A303" s="10" t="s">
        <v>67</v>
      </c>
      <c r="B303" s="191">
        <f t="shared" si="59"/>
        <v>7185.4432800000004</v>
      </c>
      <c r="C303" s="191"/>
      <c r="D303" s="191">
        <f t="shared" si="59"/>
        <v>7365.0793619999995</v>
      </c>
      <c r="E303" s="662"/>
      <c r="F303" s="192">
        <f t="shared" si="59"/>
        <v>7544.7154440000004</v>
      </c>
    </row>
    <row r="304" spans="1:6" s="55" customFormat="1" ht="15.75" hidden="1" x14ac:dyDescent="0.25">
      <c r="A304" s="10" t="s">
        <v>110</v>
      </c>
      <c r="B304" s="191">
        <f>пр.4!G183</f>
        <v>7185.4432800000004</v>
      </c>
      <c r="C304" s="191"/>
      <c r="D304" s="191">
        <f>пр.4!H183</f>
        <v>7365.0793619999995</v>
      </c>
      <c r="E304" s="662"/>
      <c r="F304" s="192">
        <f>пр.4!I183</f>
        <v>7544.7154440000004</v>
      </c>
    </row>
    <row r="305" spans="1:6" s="55" customFormat="1" ht="15.75" hidden="1" x14ac:dyDescent="0.25">
      <c r="A305" s="9" t="s">
        <v>111</v>
      </c>
      <c r="B305" s="191">
        <f>B307</f>
        <v>913.04813999999999</v>
      </c>
      <c r="C305" s="191"/>
      <c r="D305" s="191">
        <f>D307</f>
        <v>1098.68</v>
      </c>
      <c r="E305" s="662"/>
      <c r="F305" s="192">
        <f>F307</f>
        <v>1208.548</v>
      </c>
    </row>
    <row r="306" spans="1:6" s="55" customFormat="1" ht="15.75" hidden="1" x14ac:dyDescent="0.25">
      <c r="A306" s="75" t="s">
        <v>31</v>
      </c>
      <c r="B306" s="191">
        <f t="shared" ref="B306:F307" si="60">B307</f>
        <v>913.04813999999999</v>
      </c>
      <c r="C306" s="191"/>
      <c r="D306" s="191">
        <f t="shared" si="60"/>
        <v>1098.68</v>
      </c>
      <c r="E306" s="662"/>
      <c r="F306" s="192">
        <f t="shared" si="60"/>
        <v>1208.548</v>
      </c>
    </row>
    <row r="307" spans="1:6" s="55" customFormat="1" ht="15.75" hidden="1" x14ac:dyDescent="0.25">
      <c r="A307" s="10" t="s">
        <v>67</v>
      </c>
      <c r="B307" s="191">
        <f t="shared" si="60"/>
        <v>913.04813999999999</v>
      </c>
      <c r="C307" s="191"/>
      <c r="D307" s="191">
        <f t="shared" si="60"/>
        <v>1098.68</v>
      </c>
      <c r="E307" s="662"/>
      <c r="F307" s="192">
        <f t="shared" si="60"/>
        <v>1208.548</v>
      </c>
    </row>
    <row r="308" spans="1:6" s="55" customFormat="1" ht="15.75" hidden="1" x14ac:dyDescent="0.25">
      <c r="A308" s="10" t="s">
        <v>110</v>
      </c>
      <c r="B308" s="191">
        <f>пр.4!G180</f>
        <v>913.04813999999999</v>
      </c>
      <c r="C308" s="191"/>
      <c r="D308" s="191">
        <f>пр.4!H180</f>
        <v>1098.68</v>
      </c>
      <c r="E308" s="662"/>
      <c r="F308" s="192">
        <f>пр.4!I180</f>
        <v>1208.548</v>
      </c>
    </row>
    <row r="309" spans="1:6" s="55" customFormat="1" ht="15.75" hidden="1" x14ac:dyDescent="0.25">
      <c r="A309" s="124" t="s">
        <v>113</v>
      </c>
      <c r="B309" s="221">
        <f>B311</f>
        <v>2538.8760000000002</v>
      </c>
      <c r="C309" s="221"/>
      <c r="D309" s="221">
        <f>D311</f>
        <v>2256.7440000000001</v>
      </c>
      <c r="E309" s="671"/>
      <c r="F309" s="222">
        <f>F311</f>
        <v>2256.7440000000001</v>
      </c>
    </row>
    <row r="310" spans="1:6" s="55" customFormat="1" ht="15.75" hidden="1" x14ac:dyDescent="0.25">
      <c r="A310" s="124" t="s">
        <v>39</v>
      </c>
      <c r="B310" s="221">
        <f t="shared" ref="B310:F311" si="61">B311</f>
        <v>2538.8760000000002</v>
      </c>
      <c r="C310" s="221"/>
      <c r="D310" s="221">
        <f t="shared" si="61"/>
        <v>2256.7440000000001</v>
      </c>
      <c r="E310" s="671"/>
      <c r="F310" s="222">
        <f t="shared" si="61"/>
        <v>2256.7440000000001</v>
      </c>
    </row>
    <row r="311" spans="1:6" s="55" customFormat="1" ht="15.75" hidden="1" x14ac:dyDescent="0.25">
      <c r="A311" s="224" t="s">
        <v>135</v>
      </c>
      <c r="B311" s="221">
        <f t="shared" si="61"/>
        <v>2538.8760000000002</v>
      </c>
      <c r="C311" s="221"/>
      <c r="D311" s="221">
        <f t="shared" si="61"/>
        <v>2256.7440000000001</v>
      </c>
      <c r="E311" s="671"/>
      <c r="F311" s="222">
        <f t="shared" si="61"/>
        <v>2256.7440000000001</v>
      </c>
    </row>
    <row r="312" spans="1:6" s="55" customFormat="1" ht="15.75" hidden="1" x14ac:dyDescent="0.25">
      <c r="A312" s="620" t="s">
        <v>117</v>
      </c>
      <c r="B312" s="621">
        <f>пр.4!G285</f>
        <v>2538.8760000000002</v>
      </c>
      <c r="C312" s="621"/>
      <c r="D312" s="621">
        <f>пр.4!H285</f>
        <v>2256.7440000000001</v>
      </c>
      <c r="E312" s="672"/>
      <c r="F312" s="622">
        <f>пр.4!I285</f>
        <v>2256.7440000000001</v>
      </c>
    </row>
    <row r="313" spans="1:6" x14ac:dyDescent="0.2">
      <c r="A313" s="638" t="s">
        <v>316</v>
      </c>
      <c r="B313" s="630">
        <f>B188+B181+B174+B161+B154+B147+B131+B124+B94+B77+B46+B39+B22</f>
        <v>411540.23579000001</v>
      </c>
      <c r="C313" s="630"/>
      <c r="D313" s="630">
        <f t="shared" ref="D313:F313" si="62">D188+D181+D174+D161+D154+D147+D131+D124+D94+D77+D46+D39+D22</f>
        <v>209427.13946000001</v>
      </c>
      <c r="E313" s="630"/>
      <c r="F313" s="630">
        <f t="shared" si="62"/>
        <v>207399.45946000001</v>
      </c>
    </row>
  </sheetData>
  <autoFilter xmlns:x14="http://schemas.microsoft.com/office/spreadsheetml/2009/9/main" ref="A19:F312" xr:uid="{E9B44CED-E033-41B0-8AFD-28550037C12F}">
    <filterColumn colId="0">
      <filters>
        <mc:AlternateContent xmlns:mc="http://schemas.openxmlformats.org/markup-compatibility/2006">
          <mc:Choice Requires="x14">
            <x14:filter val="Муниципальная программа &quot;Безопасность 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Благоустройство территории  Никольского городского поселения Тосненского муниципального района Ленинградской области&quot;"/>
            <x14:filter val="Муниципальная программа &quot;Борьба с борщевиком Сосновского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Газификация территории  Никольского городского поселения Тосненского муниципального района Ленинградской области&quot;"/>
            <x14:filter val="Муниципальная программа &quot;О содействии участию населения в осуществлении местного самоуправления в Никольском городском поселении Тосненского муниципального района Ленинградской области в рамках областного закона Ленинградской области от 16.02.2024 № 10-оз «О содействии участию населения в осуществлении местного самоуправления в Ленинградской области»"/>
            <x14:filter val="Муниципальная программа &quot;Обеспечение жильем молодых семей, признанных нуждающимися в улучшении жилищных условий в Никольском городском поселении Тосненского муниципального  района Ленинградской области&quot;"/>
            <x14:filter val="Муниципальная программа &quot;Развитие автомобильных дорог  Никольского городского поселения Тосненского муниципального района Ленинградской области&quot;"/>
            <x14:filter val="Муниципальная программа &quot;Развитие культуры Никольского городского поселения Тосненского муниципального района Ленинградской области&quot;"/>
            <x14:filter val="Муниципальная программа &quot;Развитие физической культуры и спорта на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Создание мест (площадок) накопления твердых коммунальных отходов и реконструкция существующих мест (площадок) накопления твердых коммунальных отходов на территории Никольского городского поселения Тосненского муниципального района Ленинградской области &quot;"/>
            <x14:filter val="Муниципальная программа &quot;Устойчивое развитие территории Никольского городского поселения Тосненского муниципального района Ленинградской области&quot;"/>
            <x14:filter val="Муниципальная программа &quot;Формирование комфортной городской среды на территории Никольского  городского поселения Тосненского муниципального района Ленинградской области&quot;"/>
            <x14:filter val="Муниципальная программа &quot;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&quot;"/>
          </mc:Choice>
          <mc:Fallback>
            <filter val="Муниципальная программа &quot;Безопасность 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Благоустройство территории  Никольского городского поселения Тосненского муниципального района Ленинградской области&quot;"/>
            <filter val="Муниципальная программа &quot;Борьба с борщевиком Сосновского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Газификация территории  Никольского городского поселения Тосненского муниципального района Ленинградской области&quot;"/>
            <filter val="Муниципальная программа &quot;Обеспечение жильем молодых семей, признанных нуждающимися в улучшении жилищных условий в Никольском городском поселении Тосненского муниципального  района Ленинградской области&quot;"/>
            <filter val="Муниципальная программа &quot;Развитие автомобильных дорог  Никольского городского поселения Тосненского муниципального района Ленинградской области&quot;"/>
            <filter val="Муниципальная программа &quot;Развитие культуры Никольского городского поселения Тосненского муниципального района Ленинградской области&quot;"/>
            <filter val="Муниципальная программа &quot;Развитие физической культуры и спорта на территории Никольского городского поселения Тосненского муниципального района Ленинградской области&quot;"/>
            <filter val="Муниципальная программа &quot;Устойчивое развитие территории Никольского городского поселения Тосненского муниципального района Ленинградской области&quot;"/>
            <filter val="Муниципальная программа &quot;Формирование комфортной городской среды на территории Никольского  городского поселения Тосненского муниципального района Ленинградской области&quot;"/>
            <filter val="Муниципальная программа &quot;Энергосбережение и повышение энергоэффективности на территории Никольского городского поселения Тосненского муниципального района Ленинградской области&quot;"/>
          </mc:Fallback>
        </mc:AlternateContent>
      </filters>
    </filterColumn>
  </autoFilter>
  <mergeCells count="3">
    <mergeCell ref="A15:F15"/>
    <mergeCell ref="A16:F16"/>
    <mergeCell ref="A17:F17"/>
  </mergeCells>
  <printOptions horizontalCentered="1"/>
  <pageMargins left="0" right="0" top="1.1811023622047245" bottom="0.39370078740157483" header="0" footer="0"/>
  <pageSetup paperSize="9" scale="8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пр.1</vt:lpstr>
      <vt:lpstr>пр.2</vt:lpstr>
      <vt:lpstr>пр.3</vt:lpstr>
      <vt:lpstr>пр.4</vt:lpstr>
      <vt:lpstr>пр.5</vt:lpstr>
      <vt:lpstr>пр.6</vt:lpstr>
      <vt:lpstr>пр.7</vt:lpstr>
      <vt:lpstr> прил 6 в презу</vt:lpstr>
      <vt:lpstr>МП в презу</vt:lpstr>
      <vt:lpstr>вед.структура расходов</vt:lpstr>
      <vt:lpstr>сверка 40,1%</vt:lpstr>
      <vt:lpstr>основные характеристики</vt:lpstr>
      <vt:lpstr>решение</vt:lpstr>
      <vt:lpstr>пз стр 10</vt:lpstr>
      <vt:lpstr>прил-3 (2)</vt:lpstr>
      <vt:lpstr>доходы в презу</vt:lpstr>
      <vt:lpstr>СТРУКТУРА ПРОГРАММНЫЕ ПРЕЗА</vt:lpstr>
      <vt:lpstr>'вед.структура расходов'!Область_печати</vt:lpstr>
      <vt:lpstr>пр.4!Область_печати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Бухгалтерия</cp:lastModifiedBy>
  <cp:lastPrinted>2026-03-03T06:45:56Z</cp:lastPrinted>
  <dcterms:created xsi:type="dcterms:W3CDTF">1996-10-08T23:32:33Z</dcterms:created>
  <dcterms:modified xsi:type="dcterms:W3CDTF">2026-03-05T13:02:27Z</dcterms:modified>
</cp:coreProperties>
</file>